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5"/>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<sst xmlns="http://schemas.openxmlformats.org/spreadsheetml/2006/main" count="3663" uniqueCount="2967">
  <si>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</si>
  <si>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</si>
  <si>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</si>
  <si>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</si>
  <si>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</si>
  <si>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</si>
  <si>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</si>
  <si>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</si>
  <si>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</si>
  <si>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</si>
  <si>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</si>
  <si>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</si>
  <si>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</si>
  <si>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</si>
  <si>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</si>
  <si>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</si>
  <si>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</si>
  <si>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</si>
  <si>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</si>
  <si>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</si>
  <si>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</si>
  <si>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</si>
  <si>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</si>
  <si>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</si>
  <si>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</si>
  <si>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</si>
  <si>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</si>
  <si>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</si>
  <si>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</si>
  <si>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</si>
  <si>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</si>
  <si>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</si>
  <si>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</si>
  <si>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</si>
  <si>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</si>
  <si>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</si>
  <si>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</si>
  <si>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</si>
  <si>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</si>
  <si>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</si>
  <si>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</si>
  <si>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</si>
  <si>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</si>
  <si>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</si>
  <si>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</si>
  <si>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</si>
  <si>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</si>
  <si>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</si>
  <si>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</si>
  <si>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</si>
  <si>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</si>
  <si>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</si>
  <si>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</si>
  <si>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</si>
  <si>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</si>
  <si>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</si>
  <si>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</si>
  <si>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</si>
  <si>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</si>
  <si>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</si>
  <si>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</si>
  <si>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</si>
  <si>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</si>
  <si>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</si>
  <si>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</si>
  <si>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</si>
  <si>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</si>
  <si>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</si>
  <si>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</si>
  <si>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</si>
  <si>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</si>
  <si>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</si>
  <si>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</si>
  <si>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</si>
  <si>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</si>
  <si>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</si>
  <si>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</si>
  <si>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</si>
  <si>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</si>
  <si>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</si>
  <si>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</si>
  <si>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</si>
  <si>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</si>
  <si>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</si>
  <si>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</si>
  <si>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</si>
  <si>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</si>
  <si>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</si>
  <si>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</si>
  <si>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</si>
  <si>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</si>
  <si>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</si>
  <si>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</si>
  <si>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</si>
  <si>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</si>
  <si>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</si>
  <si>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</si>
  <si>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</si>
  <si>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</si>
  <si>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</si>
  <si>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</si>
  <si>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</si>
  <si>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</si>
  <si>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</si>
  <si>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</si>
  <si>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</si>
  <si>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</si>
  <si>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</si>
  <si>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</si>
  <si>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</si>
  <si>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</si>
  <si>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</si>
  <si>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</si>
  <si>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</si>
  <si>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</si>
  <si>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</si>
  <si>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</si>
  <si>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</si>
  <si>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</si>
  <si>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</si>
  <si>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</si>
  <si>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</si>
  <si>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</si>
  <si>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</si>
  <si>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</si>
  <si>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</si>
  <si>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</si>
  <si>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</si>
  <si>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</si>
  <si>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</si>
  <si>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</si>
  <si>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</si>
  <si>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</si>
  <si>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</si>
  <si>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</si>
  <si>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</si>
  <si>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</si>
  <si>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</si>
  <si>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</si>
  <si>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</si>
  <si>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</si>
  <si>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</si>
  <si>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</si>
  <si>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</si>
  <si>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</si>
  <si>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</si>
  <si>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</si>
  <si>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</si>
  <si>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</si>
  <si>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</si>
  <si>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</si>
  <si>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</si>
  <si>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</si>
  <si>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</si>
  <si>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</si>
  <si>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</si>
  <si>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</si>
  <si>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</si>
  <si>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</si>
  <si>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</si>
  <si>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</si>
  <si>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</si>
  <si>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</si>
  <si>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</si>
  <si>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</si>
  <si>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</si>
  <si>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</si>
  <si>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</si>
  <si>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</si>
  <si>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</si>
  <si>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</si>
  <si>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</si>
  <si>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</si>
  <si>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</si>
  <si>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</si>
  <si>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</si>
  <si>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</si>
  <si>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</si>
  <si>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</si>
  <si>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</si>
  <si>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</si>
  <si>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</si>
  <si>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</si>
  <si>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</si>
  <si>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</si>
  <si>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</si>
  <si>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</si>
  <si>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</si>
  <si>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</si>
  <si>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</si>
  <si>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</si>
  <si>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</si>
  <si>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</si>
  <si>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</si>
  <si>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</si>
  <si>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</si>
  <si>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</si>
  <si>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</si>
  <si>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</si>
  <si>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</si>
  <si>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</si>
  <si>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</si>
  <si>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</si>
  <si>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</si>
  <si>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</si>
  <si>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</si>
  <si>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</si>
  <si>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</si>
  <si>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</si>
  <si>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</si>
  <si>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</si>
  <si>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</si>
  <si>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</si>
  <si>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</si>
  <si>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</si>
  <si>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</si>
  <si>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</si>
  <si>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</si>
  <si>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</si>
  <si>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</si>
  <si>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</si>
  <si>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</si>
  <si>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</si>
  <si>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</si>
  <si>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</si>
  <si>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</si>
  <si>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</si>
  <si>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</si>
  <si>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</si>
  <si>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</si>
  <si>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</si>
  <si>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</si>
  <si>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</si>
  <si>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</si>
  <si>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</si>
  <si>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</si>
  <si>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</si>
  <si>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</si>
  <si>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</si>
  <si>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</si>
  <si>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</si>
  <si>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</si>
  <si>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</si>
  <si>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</si>
  <si>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</si>
  <si>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</si>
  <si>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</si>
  <si>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</si>
  <si>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</si>
  <si>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</si>
  <si>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</si>
  <si>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</si>
  <si>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</si>
  <si>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</si>
  <si>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</si>
  <si>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</si>
  <si>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</si>
  <si>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</si>
  <si>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</si>
  <si>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</si>
  <si>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</si>
  <si>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</si>
  <si>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</si>
  <si>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</si>
  <si>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</si>
  <si>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</si>
  <si>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</si>
  <si>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</si>
  <si>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</si>
  <si>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</si>
  <si>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</si>
  <si>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</si>
  <si>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</si>
  <si>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</si>
  <si>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</si>
  <si>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</si>
  <si>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</si>
  <si>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</si>
  <si>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</si>
  <si>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</si>
  <si>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</si>
  <si>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</si>
  <si>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</si>
  <si>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</si>
  <si>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</si>
  <si>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</si>
  <si>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</si>
  <si>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</si>
  <si>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</si>
  <si>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</si>
  <si>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</si>
  <si>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</si>
  <si>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</si>
  <si>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</si>
  <si>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</si>
  <si>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</si>
  <si>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</si>
  <si>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</si>
  <si>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</si>
  <si>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</si>
  <si>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</si>
  <si>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</si>
  <si>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</si>
  <si>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</si>
  <si>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</si>
  <si>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</si>
  <si>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</si>
  <si>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</si>
  <si>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</si>
  <si>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</si>
  <si>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</si>
  <si>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</si>
  <si>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</si>
  <si>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</si>
  <si>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</si>
  <si>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</si>
  <si>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</si>
  <si>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</si>
  <si>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</si>
  <si>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</si>
  <si>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</si>
  <si>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</si>
  <si>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</si>
  <si>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</si>
  <si>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</si>
  <si>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</si>
  <si>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</si>
  <si>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</si>
  <si>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</si>
  <si>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</si>
  <si>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</si>
  <si>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</si>
  <si>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</si>
  <si>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</si>
  <si>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</si>
  <si>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</si>
  <si>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</si>
  <si>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</si>
  <si>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</si>
  <si>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</si>
  <si>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</si>
  <si>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</si>
  <si>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</si>
  <si>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</si>
  <si>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</si>
  <si>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</si>
  <si>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</si>
  <si>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</si>
  <si>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</si>
  <si>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</si>
  <si>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</si>
  <si>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</si>
  <si>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</si>
  <si>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</si>
  <si>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</si>
  <si>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</si>
  <si>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</si>
  <si>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</si>
  <si>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</si>
  <si>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</si>
  <si>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</si>
  <si>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</si>
  <si>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</si>
  <si>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</si>
  <si>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</si>
  <si>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</si>
  <si>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</si>
  <si>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</si>
  <si>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</si>
  <si>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</si>
  <si>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</si>
  <si>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</si>
  <si>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</si>
  <si>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</si>
  <si>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</si>
  <si>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</si>
  <si>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</si>
  <si>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</si>
  <si>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</si>
  <si>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</si>
  <si>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</si>
  <si>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</si>
  <si>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</si>
  <si>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</si>
  <si>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</si>
  <si>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</si>
  <si>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</si>
  <si>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</si>
  <si>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</si>
  <si>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</si>
  <si>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</si>
  <si>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</si>
  <si>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</si>
  <si>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</si>
  <si>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</si>
  <si>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</si>
  <si>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</si>
  <si>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</si>
  <si>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</si>
  <si>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</si>
  <si>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</si>
  <si>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</si>
  <si>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</si>
  <si>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</si>
  <si>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</si>
  <si>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</si>
  <si>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</si>
  <si>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</si>
  <si>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</si>
  <si>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</si>
  <si>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</si>
  <si>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</si>
  <si>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</si>
  <si>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</si>
  <si>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</si>
  <si>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</si>
  <si>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</si>
  <si>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</si>
  <si>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</si>
  <si>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</si>
  <si>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</si>
  <si>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</si>
  <si>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</si>
  <si>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</si>
  <si>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</si>
  <si>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</si>
  <si>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</si>
  <si>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</si>
  <si>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</si>
  <si>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</si>
  <si>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</si>
  <si>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</si>
  <si>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</si>
  <si>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</si>
  <si>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</si>
  <si>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</si>
  <si>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</si>
  <si>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</si>
  <si>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</si>
  <si>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</si>
  <si>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</si>
  <si>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</si>
  <si>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</si>
  <si>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</si>
  <si>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</si>
  <si>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</si>
  <si>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</si>
  <si>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</si>
  <si>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</si>
  <si>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</si>
  <si>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</si>
  <si>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</si>
  <si>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</si>
  <si>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</si>
  <si>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</si>
  <si>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</si>
  <si>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</si>
  <si>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</si>
  <si>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</si>
  <si>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</si>
  <si>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</si>
  <si>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</si>
  <si>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</si>
  <si>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</si>
  <si>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</si>
  <si>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</si>
  <si>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</si>
  <si>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</si>
  <si>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</si>
  <si>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</si>
  <si>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</si>
  <si>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</si>
  <si>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</si>
  <si>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</si>
  <si>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</si>
  <si>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</si>
  <si>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</si>
  <si>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</si>
  <si>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</si>
  <si>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</si>
  <si>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</si>
  <si>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</si>
  <si>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</si>
  <si>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</si>
  <si>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</si>
  <si>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</si>
  <si>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</si>
  <si>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</si>
  <si>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</si>
  <si>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</si>
  <si>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</si>
  <si>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</si>
  <si>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</si>
  <si>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</si>
  <si>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</si>
  <si>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</si>
  <si>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</si>
  <si>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</si>
  <si>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</si>
  <si>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</si>
  <si>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</si>
  <si>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</si>
  <si>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</si>
  <si>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</si>
  <si>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</si>
  <si>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</si>
  <si>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</si>
  <si>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</si>
  <si>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</si>
  <si>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</si>
  <si>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</si>
  <si>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</si>
  <si>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</si>
  <si>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</si>
  <si>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</si>
  <si>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</si>
  <si>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</si>
  <si>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</si>
  <si>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</si>
  <si>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</si>
  <si>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</si>
  <si>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</si>
  <si>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</si>
  <si>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</si>
  <si>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</si>
  <si>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</si>
  <si>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</si>
  <si>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</si>
  <si>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</si>
  <si>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</si>
  <si>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</si>
  <si>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</si>
  <si>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</si>
  <si>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</si>
  <si>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</si>
  <si>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</si>
  <si>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</si>
  <si>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</si>
  <si>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</si>
  <si>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</si>
  <si>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</si>
  <si>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</si>
  <si>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</si>
  <si>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</si>
  <si>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</si>
  <si>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</si>
  <si>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</si>
  <si>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</si>
  <si>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</si>
  <si>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</si>
  <si>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</si>
  <si>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</si>
  <si>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</si>
  <si>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</si>
  <si>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</si>
  <si>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</si>
  <si>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</si>
  <si>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</si>
  <si>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</si>
  <si>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</si>
  <si>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</si>
  <si>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</si>
  <si>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</si>
  <si>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</si>
  <si>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</si>
  <si>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</si>
  <si>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</si>
  <si>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</si>
  <si>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</si>
  <si>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</si>
  <si>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</si>
  <si>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</si>
  <si>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</si>
  <si>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</si>
  <si>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</si>
  <si>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</si>
  <si>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</si>
  <si>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</si>
  <si>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</si>
  <si>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</si>
  <si>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</si>
  <si>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</si>
  <si>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</si>
  <si>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</si>
  <si>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</si>
  <si>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</si>
  <si>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</si>
  <si>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</si>
  <si>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</si>
  <si>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</si>
  <si>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</si>
  <si>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</si>
  <si>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</si>
  <si>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</si>
  <si>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</si>
  <si>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</si>
  <si>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</si>
  <si>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</si>
  <si>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</si>
  <si>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</si>
  <si>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</si>
  <si>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</si>
  <si>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</si>
  <si>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</si>
  <si>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</si>
  <si>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</si>
  <si>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</si>
  <si>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</si>
  <si>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</si>
  <si>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</si>
  <si>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</si>
  <si>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</si>
  <si>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</si>
  <si>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</si>
  <si>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</si>
  <si>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</si>
  <si>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</si>
  <si>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</si>
  <si>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</si>
  <si>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</si>
  <si>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</si>
  <si>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</si>
  <si>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</si>
  <si>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</si>
  <si>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</si>
  <si>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</si>
  <si>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</si>
  <si>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</si>
  <si>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</si>
  <si>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</si>
  <si>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</si>
  <si>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</si>
  <si>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</si>
  <si>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</si>
  <si>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</si>
  <si>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</si>
  <si>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</si>
  <si>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</si>
  <si>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</si>
  <si>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</si>
  <si>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</si>
  <si>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</si>
  <si>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</si>
  <si>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</si>
  <si>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</si>
  <si>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</si>
  <si>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</si>
  <si>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</si>
  <si>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</si>
  <si>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</si>
  <si>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</si>
  <si>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</si>
  <si>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</si>
  <si>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</si>
  <si>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</si>
  <si>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</si>
  <si>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</si>
  <si>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</si>
  <si>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</si>
  <si>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</si>
  <si>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</si>
  <si>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</si>
  <si>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</si>
  <si>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</si>
  <si>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</si>
  <si>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</si>
  <si>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</si>
  <si>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</si>
  <si>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</si>
  <si>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</si>
  <si>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</si>
  <si>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</si>
  <si>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</si>
  <si>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</si>
  <si>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</si>
  <si>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</si>
  <si>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</si>
  <si>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</si>
  <si>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</si>
  <si>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</si>
  <si>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</si>
  <si>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</si>
  <si>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</si>
  <si>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</si>
  <si>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</si>
  <si>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</si>
  <si>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</si>
  <si>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</si>
  <si>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</si>
  <si>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</si>
  <si>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</si>
  <si>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</si>
  <si>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</si>
  <si>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</si>
  <si>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</si>
  <si>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</si>
  <si>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</si>
  <si>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</si>
  <si>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</si>
  <si>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</si>
  <si>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</si>
  <si>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</si>
  <si>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</si>
  <si>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</si>
  <si>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</si>
  <si>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</si>
  <si>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</si>
  <si>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</si>
  <si>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</si>
  <si>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</si>
  <si>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</si>
  <si>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</si>
  <si>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</si>
  <si>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</si>
  <si>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</si>
  <si>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</si>
  <si>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</si>
  <si>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</si>
  <si>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</si>
  <si>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</si>
  <si>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</si>
  <si>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</si>
  <si>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</si>
  <si>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</si>
  <si>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</si>
  <si>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</si>
  <si>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</si>
  <si>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</si>
  <si>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</si>
  <si>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</si>
  <si>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</si>
  <si>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</si>
  <si>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</si>
  <si>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</si>
  <si>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</si>
  <si>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</si>
  <si>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</si>
  <si>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</si>
  <si>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</si>
  <si>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</si>
  <si>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</si>
  <si>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</si>
  <si>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</si>
  <si>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</si>
  <si>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</si>
  <si>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</si>
  <si>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</si>
  <si>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</si>
  <si>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</si>
  <si>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</si>
  <si>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</si>
  <si>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</si>
  <si>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</si>
  <si>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</si>
  <si>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</si>
  <si>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</si>
  <si>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</si>
  <si>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</si>
  <si>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</si>
  <si>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</si>
  <si>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</si>
  <si>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</si>
  <si>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</si>
  <si>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</si>
  <si>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</si>
  <si>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</si>
  <si>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</si>
  <si>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</si>
  <si>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</si>
  <si>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</si>
  <si>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</si>
  <si>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</si>
  <si>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</si>
  <si>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</si>
  <si>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</si>
  <si>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</si>
  <si>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</si>
  <si>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</si>
  <si>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</si>
  <si>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</si>
  <si>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</si>
  <si>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</si>
  <si>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</si>
  <si>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</si>
  <si>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</si>
  <si>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</si>
  <si>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</si>
  <si>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</si>
  <si>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</si>
  <si>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</si>
  <si>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</si>
  <si>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</si>
  <si>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</si>
  <si>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</si>
  <si>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</si>
  <si>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</si>
  <si>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</si>
  <si>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</si>
  <si>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</si>
  <si>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</si>
  <si>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</si>
  <si>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</si>
  <si>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</si>
  <si>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</si>
  <si>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</si>
  <si>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</si>
  <si>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</si>
  <si>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</si>
  <si>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</si>
  <si>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</si>
  <si>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</si>
  <si>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</si>
  <si>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</si>
  <si>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</si>
  <si>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</si>
  <si>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</si>
  <si>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</si>
  <si>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</si>
  <si>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</si>
  <si>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</si>
  <si>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</si>
  <si>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</si>
  <si>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</si>
  <si>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</si>
  <si>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</si>
  <si>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</si>
  <si>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</si>
  <si>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</si>
  <si>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</si>
  <si>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</si>
  <si>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</si>
  <si>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</si>
  <si>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</si>
  <si>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</si>
  <si>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</si>
  <si>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</si>
  <si>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</si>
  <si>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</si>
  <si>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</si>
  <si>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</si>
  <si>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</si>
  <si>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</si>
  <si>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</si>
  <si>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</si>
  <si>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</si>
  <si>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</si>
  <si>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</si>
  <si>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</si>
  <si>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</si>
  <si>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</si>
  <si>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</si>
  <si>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</si>
  <si>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</si>
  <si>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</si>
  <si>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</si>
  <si>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</si>
  <si>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</si>
  <si>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</si>
  <si>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</si>
  <si>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</si>
  <si>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</si>
  <si>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</si>
  <si>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</si>
  <si>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</si>
  <si>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</si>
  <si>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</si>
  <si>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</si>
  <si>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</si>
  <si>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</si>
  <si>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</si>
  <si>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</si>
  <si>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</si>
  <si>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</si>
  <si>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</si>
  <si>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</si>
  <si>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</si>
  <si>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</si>
  <si>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</si>
  <si>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</si>
  <si>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</si>
  <si>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</si>
  <si>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</si>
  <si>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</si>
  <si>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</si>
  <si>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</si>
  <si>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</si>
  <si>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</si>
  <si>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</si>
  <si>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</si>
  <si>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</si>
  <si>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</si>
  <si>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</si>
  <si>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</si>
  <si>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</si>
  <si>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</si>
  <si>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</si>
  <si>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</si>
  <si>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</si>
  <si>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</si>
  <si>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</si>
  <si>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</si>
  <si>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</si>
  <si>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</si>
  <si>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</si>
  <si>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</si>
  <si>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</si>
  <si>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</si>
  <si>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</si>
  <si>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</si>
  <si>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</si>
  <si>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</si>
  <si>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</si>
  <si>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</si>
  <si>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</si>
  <si>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</si>
  <si>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</si>
  <si>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</si>
  <si>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</si>
  <si>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</si>
  <si>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</si>
  <si>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</si>
  <si>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</si>
  <si>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</si>
  <si>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</si>
  <si>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</si>
  <si>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</si>
  <si>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</si>
  <si>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</si>
  <si>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</si>
  <si>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</si>
  <si>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</si>
  <si>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</si>
  <si>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</si>
  <si>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</si>
  <si>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</si>
  <si>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</si>
  <si>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</si>
  <si>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</si>
  <si>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</si>
  <si>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</si>
  <si>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</si>
  <si>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</si>
  <si>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</si>
  <si>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</si>
  <si>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</si>
  <si>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</si>
  <si>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</si>
  <si>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</si>
  <si>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</si>
  <si>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</si>
  <si>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</si>
  <si>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</si>
  <si>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</si>
  <si>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</si>
  <si>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</si>
  <si>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</si>
  <si>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</si>
  <si>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</si>
  <si>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</si>
  <si>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</si>
  <si>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</si>
  <si>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</si>
  <si>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</si>
  <si>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</si>
  <si>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</si>
  <si>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</si>
  <si>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</si>
  <si>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</si>
  <si>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</si>
  <si>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</si>
  <si>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</si>
  <si>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</si>
  <si>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</si>
  <si>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</si>
  <si>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</si>
  <si>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</si>
  <si>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</si>
  <si>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</si>
  <si>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</si>
  <si>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</si>
  <si>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</si>
  <si>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</si>
  <si>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</si>
  <si>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</si>
  <si>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</si>
  <si>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</si>
  <si>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</si>
  <si>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</si>
  <si>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</si>
  <si>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</si>
  <si>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</si>
  <si>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</si>
  <si>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</si>
  <si>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</si>
  <si>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</si>
  <si>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</si>
  <si>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</si>
  <si>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</si>
  <si>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</si>
  <si>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</si>
  <si>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</si>
  <si>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</si>
  <si>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</si>
  <si>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</si>
  <si>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</si>
  <si>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</si>
  <si>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</si>
  <si>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</si>
  <si>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</si>
  <si>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</si>
  <si>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</si>
  <si>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</si>
  <si>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</si>
  <si>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</si>
  <si>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</si>
  <si>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</si>
  <si>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</si>
  <si>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</si>
  <si>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</si>
  <si>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</si>
  <si>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</si>
  <si>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</si>
  <si>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</si>
  <si>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</si>
  <si>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</si>
  <si>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</si>
  <si>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</si>
  <si>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</si>
  <si>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</si>
  <si>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</si>
  <si>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</si>
  <si>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</si>
  <si>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</si>
  <si>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</si>
  <si>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</si>
  <si>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</si>
  <si>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</si>
  <si>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</si>
  <si>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</si>
  <si>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</si>
  <si>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</si>
  <si>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</si>
  <si>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</si>
  <si>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</si>
  <si>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</si>
  <si>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</si>
  <si>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</si>
  <si>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</si>
  <si>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</si>
  <si>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</si>
  <si>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</si>
  <si>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</si>
  <si>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</si>
  <si>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</si>
  <si>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</si>
  <si>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</si>
  <si>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</si>
  <si>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</si>
  <si>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</si>
  <si>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</si>
  <si>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</si>
  <si>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</si>
  <si>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</si>
  <si>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</si>
  <si>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</si>
  <si>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</si>
  <si>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</si>
  <si>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</si>
  <si>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</si>
  <si>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</si>
  <si>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</si>
  <si>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</si>
  <si>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</si>
  <si>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</si>
  <si>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</si>
  <si>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</si>
  <si>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</si>
  <si>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</si>
  <si>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</si>
  <si>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</si>
  <si>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</si>
  <si>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</si>
  <si>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</si>
  <si>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</si>
  <si>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</si>
  <si>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</si>
  <si>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</si>
  <si>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</si>
  <si>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</si>
  <si>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</si>
  <si>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</si>
  <si>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</si>
  <si>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</si>
  <si>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</si>
  <si>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</si>
  <si>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</si>
  <si>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</si>
  <si>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</si>
  <si>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</si>
  <si>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</si>
  <si>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</si>
  <si>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</si>
  <si>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</si>
  <si>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</si>
  <si>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</si>
  <si>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</si>
  <si>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</si>
  <si>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</si>
  <si>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</si>
  <si>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</si>
  <si>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</si>
  <si>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</si>
  <si>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</si>
  <si>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</si>
  <si>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</si>
  <si>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</si>
  <si>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</si>
  <si>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</si>
  <si>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</si>
  <si>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</si>
  <si>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</si>
  <si>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</si>
  <si>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</si>
  <si>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</si>
  <si>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</si>
  <si>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</si>
  <si>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</si>
  <si>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</si>
  <si>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</si>
  <si>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</si>
  <si>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</si>
  <si>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</si>
  <si>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</si>
  <si>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</si>
  <si>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</si>
  <si>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</si>
  <si>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</si>
  <si>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</si>
  <si>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</si>
  <si>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</si>
  <si>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</si>
  <si>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</si>
  <si>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</si>
  <si>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</si>
  <si>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</si>
  <si>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</si>
  <si>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</si>
  <si>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</si>
  <si>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</si>
  <si>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</si>
  <si>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</si>
  <si>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</si>
  <si>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</si>
  <si>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</si>
  <si>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</si>
  <si>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</si>
  <si>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</si>
  <si>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</si>
  <si>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</si>
  <si>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</si>
  <si>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</si>
  <si>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</si>
  <si>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</si>
  <si>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</si>
  <si>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</si>
  <si>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</si>
  <si>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</si>
  <si>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</si>
  <si>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</si>
  <si>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</si>
  <si>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</si>
  <si>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</si>
  <si>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</si>
  <si>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</si>
  <si>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</si>
  <si>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</si>
  <si>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</si>
  <si>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</si>
  <si>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</si>
  <si>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</si>
  <si>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</si>
  <si>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</si>
  <si>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</si>
  <si>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</si>
  <si>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</si>
  <si>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</si>
  <si>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</si>
  <si>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</si>
  <si>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</si>
  <si>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</si>
  <si>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</si>
  <si>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</si>
  <si>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</si>
  <si>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</si>
  <si>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</si>
  <si>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</si>
  <si>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</si>
  <si>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</si>
  <si>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</si>
  <si>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</si>
  <si>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</si>
  <si>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</si>
  <si>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</si>
  <si>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</si>
  <si>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</si>
  <si>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</si>
  <si>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</si>
  <si>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</si>
  <si>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</si>
  <si>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</si>
  <si>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</si>
  <si>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</si>
  <si>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</si>
  <si>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</si>
  <si>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</si>
  <si>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</si>
  <si>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</si>
  <si>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</si>
  <si>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</si>
  <si>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</si>
  <si>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</si>
  <si>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</si>
  <si>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</si>
  <si>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</si>
  <si>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</si>
  <si>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</si>
  <si>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</si>
  <si>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</si>
  <si>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</si>
  <si>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</si>
  <si>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</si>
  <si>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</si>
  <si>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</si>
  <si>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</si>
  <si>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</si>
  <si>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</si>
  <si>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</si>
  <si>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</si>
  <si>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</si>
  <si>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</si>
  <si>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</si>
  <si>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</si>
  <si>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</si>
  <si>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</si>
  <si>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</si>
  <si>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</si>
  <si>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</si>
  <si>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</si>
  <si>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</si>
  <si>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</si>
  <si>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</si>
  <si>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</si>
  <si>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</si>
  <si>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</si>
  <si>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</si>
  <si>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</si>
  <si>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</si>
  <si>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</si>
  <si>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</si>
  <si>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</si>
  <si>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</si>
  <si>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</si>
  <si>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</si>
  <si>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</si>
  <si>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</si>
  <si>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</si>
  <si>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</si>
  <si>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</si>
  <si>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</si>
  <si>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</si>
  <si>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</si>
  <si>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</si>
  <si>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</si>
  <si>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</si>
  <si>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</si>
  <si>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</si>
  <si>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</si>
  <si>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</si>
  <si>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</si>
  <si>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</si>
  <si>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</si>
  <si>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</si>
  <si>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</si>
  <si>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</si>
  <si>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</si>
  <si>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</si>
  <si>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</si>
  <si>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</si>
  <si>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</si>
  <si>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</si>
  <si>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</si>
  <si>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</si>
  <si>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</si>
  <si>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</si>
  <si>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</si>
  <si>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</si>
  <si>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</si>
  <si>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</si>
  <si>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</si>
  <si>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</si>
  <si>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</si>
  <si>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</si>
  <si>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</si>
  <si>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</si>
  <si>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</si>
  <si>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</si>
  <si>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</si>
  <si>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</si>
  <si>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</si>
  <si>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</si>
  <si>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</si>
  <si>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</si>
  <si>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</si>
  <si>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</si>
  <si>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</si>
  <si>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</si>
  <si>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</si>
  <si>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</si>
  <si>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</si>
  <si>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</si>
  <si>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</si>
  <si>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</si>
  <si>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</si>
  <si>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</si>
  <si>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</si>
  <si>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</si>
  <si>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</si>
  <si>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</si>
  <si>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</si>
  <si>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</si>
  <si>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</si>
  <si>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</si>
  <si>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</si>
  <si>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</si>
  <si>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</si>
  <si>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</si>
  <si>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</si>
  <si>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</si>
  <si>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</si>
  <si>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</si>
  <si>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</si>
  <si>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</si>
  <si>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</si>
  <si>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</si>
  <si>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</si>
  <si>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</si>
  <si>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</si>
  <si>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</si>
  <si>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</si>
  <si>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</si>
  <si>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</si>
  <si>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</si>
  <si>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</si>
  <si>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</si>
  <si>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</si>
  <si>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</si>
  <si>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</si>
  <si>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</si>
  <si>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</si>
  <si>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</si>
  <si>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</si>
  <si>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</si>
  <si>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</si>
  <si>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</si>
  <si>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</si>
  <si>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</si>
  <si>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</si>
  <si>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</si>
  <si>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</si>
  <si>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</si>
  <si>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</si>
  <si>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</si>
  <si>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</si>
  <si>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</si>
  <si>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</si>
  <si>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</si>
  <si>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</si>
  <si>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</si>
  <si>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</si>
  <si>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</si>
  <si>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</si>
  <si>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</si>
  <si>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</si>
  <si>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</si>
  <si>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</si>
  <si>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</si>
  <si>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</si>
  <si>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</si>
  <si>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</si>
  <si>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</si>
  <si>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</si>
  <si>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</si>
  <si>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</si>
  <si>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</si>
  <si>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</si>
  <si>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</si>
  <si>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</si>
  <si>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</si>
  <si>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</si>
  <si>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</si>
  <si>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</si>
  <si>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</si>
  <si>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</si>
  <si>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</si>
  <si>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</si>
  <si>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</si>
  <si>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</si>
  <si>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</si>
  <si>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</si>
  <si>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</si>
  <si>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</si>
  <si>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</si>
  <si>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</si>
  <si>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</si>
  <si>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</si>
  <si>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</si>
  <si>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</si>
  <si>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</si>
  <si>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</si>
  <si>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</si>
  <si>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</si>
  <si>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</si>
  <si>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</si>
  <si>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</si>
  <si>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</si>
  <si>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</si>
  <si>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</si>
  <si>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</si>
  <si>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</si>
  <si>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</si>
  <si>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</si>
  <si>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</si>
  <si>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</si>
  <si>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</si>
  <si>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</si>
  <si>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</si>
  <si>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</si>
  <si>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</si>
  <si>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</si>
  <si>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</si>
  <si>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</si>
  <si>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</si>
  <si>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</si>
  <si>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</si>
  <si>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</si>
  <si>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</si>
  <si>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</si>
  <si>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</si>
  <si>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</si>
  <si>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</si>
  <si>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</si>
  <si>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</si>
  <si>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</si>
  <si>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</si>
  <si>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</si>
  <si>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</si>
  <si>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</si>
  <si>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</si>
  <si>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</si>
  <si>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</si>
  <si>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</si>
  <si>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</si>
  <si>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</si>
  <si>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</si>
  <si>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</si>
  <si>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</si>
  <si>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</si>
  <si>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</si>
  <si>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</si>
  <si>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</si>
  <si>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</si>
  <si>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</si>
  <si>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</si>
  <si>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</si>
  <si>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</si>
  <si>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</si>
  <si>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</si>
  <si>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</si>
  <si>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</si>
  <si>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</si>
  <si>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</si>
  <si>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</si>
  <si>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</si>
  <si>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</si>
  <si>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</si>
  <si>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</si>
  <si>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</si>
  <si>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</si>
  <si>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</si>
  <si>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</si>
  <si>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</si>
  <si>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</si>
  <si>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</si>
  <si>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</si>
  <si>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</si>
  <si>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</si>
  <si>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</si>
  <si>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</si>
  <si>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</si>
  <si>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</si>
  <si>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</si>
  <si>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</si>
  <si>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</si>
  <si>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</si>
  <si>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</si>
  <si>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</si>
  <si>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</si>
  <si>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</si>
  <si>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</si>
  <si>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</si>
  <si>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</si>
  <si>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</si>
  <si>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</si>
  <si>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</si>
  <si>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</si>
  <si>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</si>
  <si>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</si>
  <si>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</si>
  <si>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</si>
  <si>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</si>
  <si>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</si>
  <si>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</si>
  <si>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</si>
  <si>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</si>
  <si>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</si>
  <si>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</si>
  <si>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</si>
  <si>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</si>
  <si>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</si>
  <si>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</si>
  <si>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</si>
  <si>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</si>
  <si>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</si>
  <si>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</si>
  <si>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</si>
  <si>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</si>
  <si>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</si>
  <si>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</si>
  <si>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</si>
  <si>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</si>
  <si>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</si>
  <si>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</si>
  <si>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</si>
  <si>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</si>
  <si>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</si>
  <si>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</si>
  <si>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</si>
  <si>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</si>
  <si>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</si>
  <si>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</si>
  <si>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</si>
  <si>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</si>
  <si>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</si>
  <si>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</si>
  <si>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</si>
  <si>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</si>
  <si>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</si>
  <si>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</si>
  <si>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</si>
  <si>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</si>
  <si>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</si>
  <si>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</si>
  <si>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</si>
  <si>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</si>
  <si>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</si>
  <si>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</si>
  <si>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</si>
  <si>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</si>
  <si>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</si>
  <si>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</si>
  <si>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</si>
  <si>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</si>
  <si>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</si>
  <si>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</si>
  <si>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</si>
  <si>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</si>
  <si>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</si>
  <si>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</si>
  <si>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</si>
  <si>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</si>
  <si>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</si>
  <si>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</si>
  <si>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</si>
  <si>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</si>
  <si>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</si>
  <si>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</si>
  <si>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</si>
  <si>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</si>
  <si>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</si>
  <si>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</si>
  <si>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</si>
  <si>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</si>
  <si>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</si>
  <si>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</si>
  <si>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</si>
  <si>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</si>
  <si>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</si>
  <si>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</si>
  <si>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</si>
  <si>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</si>
  <si>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</si>
  <si>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</si>
  <si>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</si>
  <si>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</si>
  <si>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</si>
  <si>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</si>
  <si>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</si>
  <si>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</si>
  <si>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</si>
  <si>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</si>
  <si>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</si>
  <si>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</si>
  <si>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</si>
  <si>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</si>
  <si>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</si>
  <si>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</si>
  <si>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</si>
  <si>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</si>
  <si>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</si>
  <si>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</si>
  <si>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</si>
  <si>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</si>
  <si>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</si>
  <si>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</si>
  <si>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</si>
  <si>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</si>
  <si>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</si>
  <si>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</si>
  <si>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</si>
  <si>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</si>
  <si>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</si>
  <si>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</si>
  <si>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</si>
  <si>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</si>
  <si>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</si>
  <si>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</si>
  <si>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</si>
  <si>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</si>
  <si>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</si>
  <si>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</si>
  <si>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</si>
  <si>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</si>
  <si>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</si>
  <si>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</si>
  <si>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</si>
  <si>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</si>
  <si>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</si>
  <si>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</si>
  <si>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</si>
  <si>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</si>
  <si>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</si>
  <si>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</si>
  <si>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</si>
  <si>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</si>
  <si>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</si>
  <si>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</si>
  <si>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</si>
  <si>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</si>
  <si>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</si>
  <si>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</si>
  <si>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</si>
  <si>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</si>
  <si>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</si>
  <si>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</si>
  <si>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</si>
  <si>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</si>
  <si>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</si>
  <si>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</si>
  <si>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</si>
  <si>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</si>
  <si>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</si>
  <si>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</si>
  <si>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</si>
  <si>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</si>
  <si>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</si>
  <si>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</si>
  <si>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</si>
  <si>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</si>
  <si>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</si>
  <si>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</si>
  <si>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</si>
  <si>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</si>
  <si>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</si>
  <si>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</si>
  <si>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</si>
  <si>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</si>
  <si>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</si>
  <si>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</si>
  <si>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</si>
  <si>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</si>
  <si>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</si>
  <si>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</si>
  <si>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</si>
  <si>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</si>
  <si>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</si>
  <si>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</si>
  <si>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</si>
  <si>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</si>
  <si>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</si>
  <si>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</si>
  <si>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</si>
  <si>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</si>
  <si>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</si>
  <si>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</si>
  <si>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</si>
  <si>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</si>
  <si>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</si>
  <si>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</si>
  <si>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</si>
  <si>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</si>
  <si>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</si>
  <si>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</si>
  <si>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</si>
  <si>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</si>
  <si>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</si>
  <si>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</si>
  <si>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</si>
  <si>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</si>
  <si>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</si>
  <si>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</si>
  <si>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</si>
  <si>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</si>
  <si>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</si>
  <si>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</si>
  <si>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</si>
  <si>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</si>
  <si>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</si>
  <si>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</si>
  <si>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</si>
  <si>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</si>
  <si>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</si>
  <si>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</si>
  <si>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</si>
  <si>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</si>
  <si>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</si>
  <si>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</si>
  <si>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</si>
  <si>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</si>
  <si>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</si>
  <si>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</si>
  <si>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</si>
  <si>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</si>
  <si>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</si>
  <si>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</si>
  <si>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</si>
  <si>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</si>
  <si>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</si>
  <si>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</si>
  <si>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</si>
  <si>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</si>
  <si>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</si>
  <si>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</si>
  <si>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</si>
  <si>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</si>
  <si>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</si>
  <si>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</si>
  <si>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</si>
  <si>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</si>
  <si>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</si>
  <si>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</si>
  <si>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</si>
  <si>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</si>
  <si>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</si>
  <si>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</si>
  <si>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</si>
  <si>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</si>
  <si>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</si>
  <si>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</si>
  <si>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</si>
  <si>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</si>
  <si>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</si>
  <si>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</si>
  <si>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</si>
  <si>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</si>
  <si>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</si>
  <si>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</si>
  <si>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</si>
  <si>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</si>
  <si>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</si>
  <si>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</si>
  <si>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</si>
  <si>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</si>
  <si>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</si>
  <si>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</si>
  <si>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</si>
  <si>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</si>
  <si>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</si>
  <si>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</si>
  <si>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</si>
  <si>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</si>
  <si>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</si>
  <si>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</si>
  <si>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</si>
  <si>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</si>
  <si>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</si>
  <si>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</si>
  <si>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</si>
  <si>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</si>
  <si>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</si>
  <si>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</si>
  <si>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</si>
  <si>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</si>
  <si>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</si>
  <si>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</si>
  <si>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</si>
  <si>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</si>
  <si>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</si>
  <si>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</si>
  <si>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</si>
  <si>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</si>
  <si>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</si>
  <si>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</si>
  <si>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</si>
  <si>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</si>
  <si>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</si>
  <si>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</si>
  <si>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</si>
  <si>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</si>
  <si>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</si>
  <si>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</si>
  <si>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</si>
  <si>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</si>
  <si>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</si>
  <si>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</si>
  <si>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</si>
  <si>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</si>
  <si>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</si>
  <si>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</si>
  <si>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</si>
  <si>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</si>
  <si>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</si>
  <si>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</si>
  <si>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</si>
  <si>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</si>
  <si>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</si>
  <si>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</si>
  <si>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</si>
  <si>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</si>
  <si>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</si>
  <si>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</si>
  <si>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</si>
  <si>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</si>
  <si>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</si>
  <si>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</si>
  <si>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</si>
  <si>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</si>
  <si>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</si>
  <si>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</si>
  <si>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</si>
  <si>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</si>
  <si>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</si>
  <si>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</si>
  <si>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</si>
  <si>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</si>
  <si>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</si>
  <si>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</si>
  <si>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</si>
  <si>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</si>
  <si>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</si>
  <si>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</si>
  <si>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</si>
  <si>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</si>
  <si>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</si>
  <si>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</si>
  <si>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</si>
  <si>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</si>
  <si>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</si>
  <si>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</si>
  <si>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</si>
  <si>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</si>
  <si>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</si>
  <si>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</si>
  <si>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</si>
  <si>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</si>
  <si>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</si>
  <si>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</si>
  <si>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</si>
  <si>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</si>
  <si>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</si>
  <si>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</si>
  <si>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</si>
  <si>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</si>
  <si>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</si>
  <si>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</si>
  <si>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</si>
  <si>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</si>
  <si>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</si>
  <si>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</si>
  <si>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</si>
  <si>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</si>
  <si>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</si>
  <si>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</si>
  <si>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</si>
  <si>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</si>
  <si>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</si>
  <si>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</si>
  <si>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</si>
  <si>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</si>
  <si>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</si>
  <si>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</si>
  <si>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</si>
  <si>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</si>
  <si>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</si>
  <si>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</si>
  <si>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</si>
  <si>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</si>
  <si>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</si>
  <si>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</si>
  <si>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</si>
  <si>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</si>
  <si>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</si>
  <si>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</si>
  <si>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</si>
  <si>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</si>
  <si>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</si>
  <si>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</si>
  <si>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</si>
  <si>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</si>
  <si>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</si>
  <si>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</si>
  <si>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</si>
  <si>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</si>
  <si>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</si>
  <si>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</si>
  <si>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</si>
  <si>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</si>
  <si>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</si>
  <si>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</si>
  <si>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</si>
  <si>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</si>
  <si>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</si>
  <si>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</si>
  <si>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</si>
  <si>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</si>
  <si>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</si>
  <si>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</si>
  <si>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</si>
  <si>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</si>
  <si>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</si>
  <si>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</si>
  <si>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</si>
  <si>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</si>
  <si>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</si>
  <si>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</si>
  <si>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</si>
  <si>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</si>
  <si>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</si>
  <si>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</si>
  <si>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</si>
  <si>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</si>
  <si>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</si>
  <si>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</si>
  <si>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</si>
  <si>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</si>
  <si>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</si>
  <si>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</si>
  <si>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</si>
  <si>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</si>
  <si>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</si>
  <si>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</si>
  <si>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</si>
  <si>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</si>
  <si>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</si>
  <si>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</si>
  <si>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</si>
  <si>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</si>
  <si>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</si>
  <si>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</si>
  <si>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</si>
  <si>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</si>
  <si>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</si>
  <si>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</si>
  <si>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</si>
  <si>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</si>
  <si>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</si>
  <si>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</si>
  <si>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</si>
  <si>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</si>
  <si>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</si>
  <si>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</si>
  <si>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</si>
  <si>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</si>
  <si>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</si>
  <si>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</si>
  <si>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</si>
  <si>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</si>
  <si>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</si>
  <si>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</si>
  <si>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</si>
  <si>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</si>
  <si>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</si>
  <si>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</si>
  <si>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</si>
  <si>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</si>
  <si>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</si>
  <si>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</si>
  <si>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</si>
  <si>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</si>
  <si>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</si>
  <si>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</si>
  <si>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</si>
  <si>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</si>
  <si>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</si>
  <si>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</si>
  <si>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</si>
  <si>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</si>
  <si>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</si>
  <si>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</si>
  <si>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</si>
  <si>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</si>
  <si>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</si>
  <si>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</si>
  <si>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</si>
  <si>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</si>
  <si>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</si>
  <si>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</si>
  <si>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</si>
  <si>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</si>
  <si>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</si>
  <si>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</si>
  <si>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</si>
  <si>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</si>
  <si>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</si>
  <si>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</si>
  <si>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</si>
  <si>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</si>
  <si>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</si>
  <si>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</si>
  <si>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</si>
  <si>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</si>
  <si>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</si>
  <si>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</si>
  <si>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</si>
  <si>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</si>
  <si>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</si>
  <si>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</si>
  <si>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</si>
  <si>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</si>
  <si>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</si>
  <si>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</si>
  <si>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</si>
  <si>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</si>
  <si>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</si>
  <si>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</si>
  <si>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</si>
  <si>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</si>
  <si>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</si>
  <si>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</si>
  <si>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</si>
  <si>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</si>
  <si>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</si>
  <si>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</si>
  <si>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</si>
  <si>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</si>
  <si>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</si>
  <si>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</si>
  <si>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</si>
  <si>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</si>
  <si>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</si>
  <si>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</si>
  <si>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</si>
  <si>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</si>
  <si>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</si>
  <si>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</si>
  <si>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</si>
  <si>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</si>
  <si>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</si>
  <si>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</si>
  <si>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</si>
  <si>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</si>
  <si>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</si>
  <si>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</si>
  <si>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</si>
  <si>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</si>
  <si>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</si>
  <si>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</si>
  <si>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</si>
  <si>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</si>
  <si>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</si>
  <si>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</si>
  <si>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</si>
  <si>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</si>
  <si>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</si>
  <si>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</si>
  <si>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</si>
  <si>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</si>
  <si>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</si>
  <si>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</si>
  <si>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</si>
  <si>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</si>
  <si>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</si>
  <si>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</si>
  <si>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</si>
  <si>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</si>
  <si>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</si>
  <si>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</si>
  <si>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</si>
  <si>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</si>
  <si>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</si>
  <si>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</si>
  <si>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</si>
  <si>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</si>
  <si>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</si>
  <si>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</si>
  <si>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</si>
  <si>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</si>
  <si>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</si>
  <si>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</si>
  <si>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</si>
  <si>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</si>
  <si>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</si>
  <si>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</si>
  <si>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</si>
  <si>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</si>
  <si>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</si>
  <si>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</si>
  <si>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</si>
  <si>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</si>
  <si>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</si>
  <si>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</si>
  <si>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</si>
  <si>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</si>
  <si>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</si>
  <si>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</si>
  <si>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</si>
  <si>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</si>
  <si>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</si>
  <si>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</si>
  <si>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</si>
  <si>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</si>
  <si>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</si>
  <si>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</si>
  <si>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</si>
  <si>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</si>
  <si>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</si>
  <si>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</si>
  <si>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</si>
  <si>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</si>
  <si>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</si>
  <si>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</si>
  <si>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</si>
  <si>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</si>
  <si>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</si>
  <si>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</si>
  <si>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</si>
  <si>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</si>
  <si>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</si>
  <si>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</si>
  <si>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</si>
  <si>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</si>
  <si>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</si>
  <si>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</si>
  <si>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</si>
  <si>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</si>
  <si>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</si>
  <si>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</si>
  <si>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</si>
  <si>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</si>
  <si>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</si>
  <si>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</si>
  <si>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</si>
  <si>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</si>
  <si>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</si>
  <si>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</si>
  <si>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</si>
  <si>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</si>
  <si>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</si>
  <si>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</si>
  <si>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</si>
  <si>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</si>
  <si>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</si>
  <si>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</si>
  <si>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</si>
  <si>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</si>
  <si>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</si>
  <si>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</si>
  <si>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</si>
  <si>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</si>
  <si>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</si>
  <si>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</si>
  <si>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</si>
  <si>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</si>
  <si>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</si>
  <si>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</si>
  <si>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</si>
  <si>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</si>
  <si>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</si>
  <si>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</si>
  <si>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</si>
  <si>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</si>
  <si>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</si>
  <si>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</si>
  <si>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</si>
  <si>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</si>
  <si>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</si>
  <si>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</si>
  <si>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</si>
  <si>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</si>
  <si>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</si>
  <si>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</si>
  <si>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</si>
  <si>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</si>
  <si>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</si>
  <si>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</si>
  <si>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</si>
  <si>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</si>
  <si>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</si>
  <si>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</si>
  <si>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</si>
  <si>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</si>
  <si>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</si>
  <si>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</si>
  <si>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</si>
  <si>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</si>
  <si>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</si>
  <si>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</si>
  <si>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</si>
  <si>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</si>
  <si>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</si>
  <si>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</si>
  <si>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</si>
  <si>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</si>
  <si>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</si>
  <si>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</si>
  <si>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</si>
  <si>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</si>
  <si>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</si>
  <si>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</si>
  <si>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</si>
  <si>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</si>
  <si>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</si>
  <si>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</si>
  <si>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</si>
  <si>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</si>
  <si>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</si>
  <si>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</si>
  <si>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</si>
  <si>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</si>
  <si>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</si>
  <si>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</si>
  <si>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</si>
  <si>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</si>
  <si>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</si>
  <si>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</si>
  <si>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</si>
  <si>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</si>
  <si>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</si>
  <si>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</si>
  <si>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</si>
  <si>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</si>
  <si>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</si>
  <si>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</si>
  <si>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</si>
  <si>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</si>
  <si>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</si>
  <si>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</si>
  <si>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</si>
  <si>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</si>
  <si>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</si>
  <si>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</si>
  <si>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</si>
  <si>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</si>
  <si>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</si>
  <si>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</si>
  <si>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</si>
  <si>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</si>
  <si>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</si>
  <si>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</si>
  <si>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</si>
  <si>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</si>
  <si>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</si>
  <si>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</si>
  <si>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</si>
  <si>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</si>
  <si>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</si>
  <si>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</si>
  <si>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</si>
  <si>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</si>
  <si>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</si>
  <si>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</si>
  <si>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</si>
  <si>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</si>
  <si>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</si>
  <si>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</si>
  <si>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</si>
  <si>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</si>
  <si>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</si>
  <si>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</si>
  <si>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</si>
  <si>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</si>
  <si>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</si>
  <si>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</si>
  <si>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</si>
  <si>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</si>
  <si>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</si>
  <si>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</si>
  <si>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</si>
  <si>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</si>
  <si>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</si>
  <si>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</si>
  <si>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</si>
  <si>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</si>
  <si>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</si>
  <si>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</si>
  <si>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</si>
  <si>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</si>
  <si>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</si>
  <si>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</si>
  <si>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</si>
  <si>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</si>
  <si>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</si>
  <si>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</si>
  <si>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</si>
  <si>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</si>
  <si>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</si>
  <si>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</si>
  <si>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</si>
  <si>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</si>
  <si>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</si>
  <si>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</si>
  <si>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</si>
  <si>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</si>
  <si>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</si>
  <si>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</si>
  <si>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</si>
  <si>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</si>
  <si>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</si>
  <si>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</si>
  <si>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</si>
  <si>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</si>
  <si>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</si>
  <si>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</si>
  <si>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</si>
  <si>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</si>
  <si>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</si>
  <si>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</si>
  <si>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</si>
  <si>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</si>
  <si>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</si>
  <si>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</si>
  <si>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</si>
  <si>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</si>
  <si>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</si>
  <si>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</si>
  <si>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</si>
  <si>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</si>
  <si>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</si>
  <si>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</si>
  <si>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</si>
  <si>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</si>
  <si>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</si>
  <si>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</si>
  <si>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</si>
  <si>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</si>
  <si>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</si>
  <si>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</si>
  <si>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</si>
  <si>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</si>
  <si>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</si>
  <si>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</si>
  <si>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</si>
  <si>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</si>
  <si>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</si>
  <si>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</si>
  <si>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</si>
  <si>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</si>
  <si>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</si>
  <si>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</si>
  <si>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</si>
  <si>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</si>
  <si>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</si>
  <si>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</si>
  <si>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</si>
  <si>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</si>
  <si>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</si>
  <si>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</si>
  <si>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</si>
  <si>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</si>
  <si>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</si>
  <si>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</si>
  <si>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</si>
  <si>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</si>
  <si>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</si>
  <si>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</si>
  <si>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</si>
  <si>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</si>
  <si>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</si>
  <si>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</si>
  <si>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</si>
  <si>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</si>
  <si>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</si>
  <si>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</si>
  <si>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</si>
  <si>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</si>
  <si>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</si>
  <si>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</si>
  <si>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</si>
  <si>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</si>
  <si>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</si>
  <si>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</si>
  <si>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</si>
  <si>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</si>
  <si>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</si>
  <si>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</si>
  <si>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</si>
  <si>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</si>
  <si>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</si>
  <si>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</si>
  <si>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</si>
  <si>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</si>
  <si>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</si>
  <si>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</si>
  <si>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</si>
  <si>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</si>
  <si>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</si>
  <si>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</si>
  <si>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</si>
  <si>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</si>
  <si>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</si>
  <si>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</si>
  <si>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</si>
  <si>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</si>
  <si>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</si>
  <si>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</si>
  <si>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</si>
  <si>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</si>
  <si>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</si>
  <si>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</si>
  <si>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</si>
  <si>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</si>
  <si>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</si>
  <si>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</si>
  <si>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</si>
  <si>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</si>
  <si>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</si>
  <si>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</si>
  <si>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</si>
  <si>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</si>
  <si>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</si>
  <si>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</si>
  <si>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</si>
  <si>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</si>
  <si>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</si>
  <si>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</si>
  <si>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</si>
  <si>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</si>
  <si>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</si>
  <si>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</si>
  <si>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</si>
  <si>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</si>
  <si>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</si>
  <si>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</si>
  <si>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</si>
  <si>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</si>
  <si>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</si>
  <si>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</si>
  <si>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</si>
  <si>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</si>
  <si>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</si>
  <si>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</si>
  <si>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</si>
  <si>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</si>
  <si>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</si>
  <si>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</si>
  <si>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</si>
  <si>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</si>
  <si>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</si>
  <si>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</si>
  <si>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</si>
  <si>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</si>
  <si>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</si>
  <si>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</si>
  <si>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</si>
  <si>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</si>
  <si>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</si>
  <si>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</si>
  <si>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</si>
  <si>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</si>
  <si>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</si>
  <si>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</si>
  <si>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</si>
  <si>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</si>
  <si>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</si>
  <si>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</si>
  <si>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</si>
  <si>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</si>
  <si>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</si>
  <si>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</si>
  <si>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</si>
  <si>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</si>
  <si>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</si>
  <si>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</si>
  <si>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</si>
  <si>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</si>
  <si>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</si>
  <si>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</si>
  <si>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</si>
  <si>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</si>
  <si>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</si>
  <si>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</si>
  <si>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</si>
  <si>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</si>
  <si>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</si>
  <si>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</si>
  <si>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</si>
  <si>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</si>
  <si>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</si>
  <si>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</si>
  <si>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</si>
  <si>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</si>
  <si>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</si>
  <si>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</si>
  <si>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</si>
  <si>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</si>
  <si>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</si>
  <si>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</si>
  <si>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</si>
  <si>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</si>
  <si>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</si>
  <si>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</si>
  <si>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</si>
  <si>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</si>
  <si>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</si>
  <si>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</si>
  <si>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</si>
  <si>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</si>
  <si>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</si>
  <si>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</si>
  <si>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</si>
  <si>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</si>
  <si>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</si>
  <si>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</si>
  <si>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</si>
  <si>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</si>
  <si>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</si>
  <si>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</si>
  <si>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</si>
  <si>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</si>
  <si>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</si>
  <si>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</si>
  <si>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</si>
  <si>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</si>
  <si>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</si>
  <si>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</si>
  <si>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</si>
  <si>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</si>
  <si>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</si>
  <si>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</si>
  <si>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</si>
  <si>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</si>
  <si>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</si>
  <si>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</si>
  <si>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</si>
  <si>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</si>
  <si>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</si>
  <si>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</si>
  <si>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</si>
  <si>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</si>
  <si>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</si>
  <si>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</si>
  <si>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</si>
  <si>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</si>
  <si>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</si>
  <si>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</si>
  <si>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</si>
  <si>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</si>
  <si>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</si>
  <si>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</si>
  <si>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</si>
  <si>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</si>
  <si>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</si>
  <si>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</si>
  <si>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</si>
  <si>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</si>
  <si>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</si>
  <si>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</si>
  <si>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</si>
  <si>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</si>
  <si>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</si>
  <si>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</si>
  <si>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</si>
  <si>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</si>
  <si>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</si>
  <si>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</si>
  <si>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</si>
  <si>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</si>
  <si>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</si>
  <si>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</si>
  <si>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</si>
  <si>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</si>
  <si>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</si>
  <si>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</si>
  <si>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</si>
  <si>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</si>
  <si>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</si>
  <si>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</si>
  <si>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</si>
  <si>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</si>
  <si>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</si>
  <si>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</si>
  <si>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</si>
  <si>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</si>
  <si>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</si>
  <si>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</si>
  <si>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</si>
  <si>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</si>
  <si>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</si>
  <si>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</si>
  <si>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</si>
  <si>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</si>
  <si>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</si>
  <si>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</si>
  <si>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</si>
  <si>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</si>
  <si>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</si>
  <si>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</si>
  <si>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</si>
  <si>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</si>
  <si>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</si>
  <si>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</si>
  <si>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</si>
  <si>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</si>
  <si>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</si>
  <si>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</si>
  <si>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</si>
  <si>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</si>
  <si>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</si>
  <si>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</si>
  <si>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</si>
  <si>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</si>
  <si>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</si>
  <si>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</si>
  <si>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</si>
  <si>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</si>
  <si>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</si>
  <si>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</si>
  <si>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</si>
  <si>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</si>
  <si>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</si>
  <si>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</si>
  <si>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</si>
  <si>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</si>
  <si>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</si>
  <si>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</si>
  <si>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</si>
  <si>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</si>
  <si>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</si>
  <si>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</si>
  <si>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</si>
  <si>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</si>
  <si>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</si>
  <si>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</si>
  <si>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</si>
  <si>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</si>
  <si>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</si>
  <si>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</si>
  <si>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</si>
  <si>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</si>
  <si>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</si>
  <si>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</si>
  <si>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</si>
  <si>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</si>
  <si>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</si>
  <si>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</si>
  <si>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</si>
  <si>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</si>
  <si>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</si>
  <si>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</si>
  <si>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</si>
  <si>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</si>
  <si>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</si>
  <si>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</si>
  <si>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</si>
  <si>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</si>
  <si>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</si>
  <si>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</si>
  <si>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</si>
  <si>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</si>
  <si>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</si>
  <si>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</si>
  <si>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</si>
  <si>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</si>
  <si>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</si>
  <si>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</si>
  <si>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</si>
  <si>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</si>
  <si>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</si>
  <si>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</si>
  <si>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</si>
  <si>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</si>
  <si>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</si>
  <si>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</si>
  <si>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</si>
  <si>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</si>
  <si>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</si>
  <si>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</si>
  <si>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</si>
  <si>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</si>
  <si>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</si>
  <si>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</si>
  <si>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</si>
  <si>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</si>
  <si>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</si>
  <si>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</si>
  <si>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</si>
  <si>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</si>
  <si>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</si>
  <si>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</si>
  <si>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</si>
  <si>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</si>
  <si>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</si>
  <si>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</si>
  <si>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</si>
  <si>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</si>
  <si>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</si>
  <si>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</si>
  <si>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</si>
  <si>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</si>
  <si>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</si>
  <si>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</si>
  <si>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</si>
  <si>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</si>
  <si>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</si>
  <si>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</si>
  <si>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</si>
  <si>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</si>
  <si>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</si>
  <si>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</si>
  <si>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</si>
  <si>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</si>
  <si>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</si>
  <si>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</si>
  <si>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</si>
  <si>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</si>
  <si>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</si>
  <si>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</si>
  <si>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</si>
  <si>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</si>
  <si>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</si>
  <si>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</si>
  <si>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</si>
  <si>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</si>
  <si>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</si>
  <si>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</si>
  <si>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</si>
  <si>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</si>
  <si>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</si>
  <si>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</si>
  <si>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</si>
  <si>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</si>
  <si>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</si>
  <si>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</si>
  <si>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</si>
  <si>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</si>
  <si>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</si>
  <si>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</si>
  <si>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</si>
  <si>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</si>
  <si>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</si>
  <si>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</si>
  <si>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</si>
  <si>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</si>
  <si>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</si>
  <si>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</si>
  <si>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</si>
  <si>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</si>
  <si>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</si>
  <si>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</si>
  <si>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</si>
  <si>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</si>
  <si>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</si>
  <si>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</si>
  <si>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</si>
  <si>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</si>
  <si>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</si>
  <si>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</si>
  <si>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</si>
  <si>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</si>
  <si>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</si>
  <si>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</si>
  <si>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</si>
  <si>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</si>
  <si>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</si>
  <si>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</si>
  <si>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</si>
  <si>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</si>
  <si>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</si>
  <si>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</si>
  <si>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</si>
  <si>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</si>
  <si>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</si>
  <si>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</si>
  <si>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</si>
  <si>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</si>
  <si>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</si>
  <si>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</si>
  <si>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</si>
  <si>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</si>
  <si>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</si>
  <si>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</si>
  <si>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</si>
  <si>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</si>
  <si>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</si>
  <si>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</si>
  <si>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</si>
  <si>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</si>
  <si>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</si>
  <si>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</si>
  <si>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</si>
  <si>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</si>
  <si>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</si>
  <si>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</si>
  <si>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</si>
  <si>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</si>
  <si>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</si>
  <si>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</si>
  <si>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</si>
  <si>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</si>
  <si>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</si>
  <si>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</si>
  <si>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</si>
  <si>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</si>
  <si>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</si>
  <si>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</si>
  <si>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</si>
  <si>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</si>
  <si>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</si>
  <si>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</si>
  <si>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</si>
  <si>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</si>
  <si>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</si>
  <si>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</si>
  <si>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</si>
  <si>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</si>
  <si>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</si>
  <si>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</si>
  <si>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</si>
  <si>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</si>
  <si>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</si>
  <si>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</si>
  <si>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</si>
  <si>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</si>
  <si>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</si>
  <si>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</si>
  <si>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</si>
  <si>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</si>
  <si>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</si>
  <si>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</si>
  <si>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</si>
  <si>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</si>
  <si>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</si>
  <si>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</si>
  <si>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</si>
  <si>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</si>
  <si>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</si>
  <si>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</si>
  <si>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</si>
  <si>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</si>
  <si>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</si>
  <si>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</si>
  <si>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</si>
  <si>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</si>
  <si>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</si>
  <si>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</si>
  <si>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</si>
  <si>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</si>
  <si>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</si>
  <si>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</si>
  <si>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</si>
  <si>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</si>
  <si>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</si>
  <si>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</si>
  <si>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</si>
  <si>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</si>
  <si>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</si>
  <si>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</si>
  <si>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</si>
  <si>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</si>
  <si>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</si>
  <si>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</si>
  <si>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</si>
  <si>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</si>
  <si>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</si>
  <si>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</si>
  <si>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</si>
  <si>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</si>
  <si>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</si>
  <si>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</si>
  <si>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</si>
  <si>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</si>
  <si>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</si>
  <si>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</si>
  <si>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</si>
  <si>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</si>
  <si>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</si>
  <si>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</si>
  <si>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</si>
  <si>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</si>
  <si>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</si>
  <si>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</si>
  <si>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</si>
  <si>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</si>
  <si>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</si>
  <si>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</si>
  <si>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</si>
  <si>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</si>
  <si>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</si>
  <si>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</si>
  <si>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</si>
  <si>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</si>
  <si>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</si>
  <si>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</si>
  <si>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</si>
  <si>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</si>
  <si>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</si>
  <si>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</si>
  <si>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</si>
  <si>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</si>
  <si>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</si>
  <si>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</si>
  <si>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</si>
  <si>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</si>
  <si>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</si>
  <si>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</si>
  <si>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</si>
  <si>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</si>
  <si>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</si>
  <si>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</si>
  <si>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</si>
  <si>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</si>
  <si>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</si>
  <si>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</si>
  <si>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</si>
  <si>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</si>
  <si>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</si>
  <si>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</si>
  <si>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</si>
  <si>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</si>
  <si>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</si>
  <si>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</si>
  <si>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</si>
  <si>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</si>
  <si>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</si>
  <si>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</si>
  <si>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</si>
  <si>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</si>
  <si>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</si>
  <si>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</si>
  <si>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</si>
  <si>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</si>
  <si>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</si>
  <si>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</si>
  <si>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</si>
  <si>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50329598386</t>
  </si>
  <si>
    <t>02168324</t>
  </si>
  <si>
    <t>130012368</t>
  </si>
  <si>
    <t>SAVIČENTA D.O.O.</t>
  </si>
  <si>
    <t>SVETVINČENAT</t>
  </si>
  <si>
    <t>SVETVINČENAT 47</t>
  </si>
  <si>
    <t>01070207</t>
  </si>
  <si>
    <t>VINUS D.O.O.</t>
  </si>
  <si>
    <t>MONIKA LESJAK</t>
  </si>
  <si>
    <t>052/213-180</t>
  </si>
  <si>
    <t>info@vinus.hr</t>
  </si>
  <si>
    <t>052/560-016</t>
  </si>
  <si>
    <t>STANIĆ MATEA</t>
  </si>
  <si>
    <t>matea.stanic@svetvincenat.hr</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</si>
</sst>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53"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53"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 fillId="0" borderId="23" xfId="0" applyFont="1" applyFill="1" applyBorder="1" applyAlignment="1" applyProtection="1">
      <alignment horizontal="left" vertical="center" wrapText="1"/>
      <protection hidden="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2017</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189017.38</v>
      </c>
      <c r="I3" s="31">
        <f>ABS(ROUND(J3,0)-J3)+ABS(ROUND(K3,0)-K3)</f>
        <v>0</v>
      </c>
      <c r="J3" s="31">
        <f>Bilanca!I10</f>
        <v>3146103</v>
      </c>
      <c r="K3" s="31">
        <f>Bilanca!J10</f>
        <v>3152383</v>
      </c>
    </row>
    <row r="4" spans="1:11" ht="12.75">
      <c r="A4" s="4" t="s">
        <v>1088</v>
      </c>
      <c r="B4" s="29" t="s">
        <v>1888</v>
      </c>
      <c r="D4" s="4" t="s">
        <v>1521</v>
      </c>
      <c r="E4" s="4">
        <v>1</v>
      </c>
      <c r="F4" s="4">
        <f>Bilanca!G11</f>
        <v>3</v>
      </c>
      <c r="G4" s="4">
        <f>IF(Bilanca!H11=0,"",Bilanca!H11)</f>
      </c>
      <c r="H4" s="30">
        <f>J4/100*F4+2*K4/100*F4</f>
        <v>0</v>
      </c>
      <c r="I4" s="31">
        <f>ABS(ROUND(J4,0)-J4)+ABS(ROUND(K4,0)-K4)</f>
        <v>0</v>
      </c>
      <c r="J4" s="31">
        <f>Bilanca!I11</f>
        <v>0</v>
      </c>
      <c r="K4" s="31">
        <f>Bilanca!J11</f>
        <v>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02168324</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130012368</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50329598386</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SAVIČENTA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52342</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SVETVINČENAT</v>
      </c>
      <c r="D11" s="4" t="s">
        <v>1521</v>
      </c>
      <c r="E11" s="4">
        <v>1</v>
      </c>
      <c r="F11" s="4">
        <f>Bilanca!G18</f>
        <v>10</v>
      </c>
      <c r="G11" s="4">
        <f>IF(Bilanca!H18=0,"",Bilanca!H18)</f>
      </c>
      <c r="H11" s="30">
        <f t="shared" si="0"/>
        <v>945086.9000000001</v>
      </c>
      <c r="I11" s="31">
        <f t="shared" si="1"/>
        <v>0</v>
      </c>
      <c r="J11" s="31">
        <f>Bilanca!I18</f>
        <v>3146103</v>
      </c>
      <c r="K11" s="31">
        <f>Bilanca!J18</f>
        <v>3152383</v>
      </c>
    </row>
    <row r="12" spans="1:11" ht="12.75">
      <c r="A12" s="4" t="s">
        <v>2357</v>
      </c>
      <c r="B12" s="29" t="str">
        <f>TRIM(RefStr!C33)</f>
        <v>SVETVINČENAT 47</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matea.stanic@svetvincenat.hr</v>
      </c>
      <c r="D13" s="4" t="s">
        <v>1521</v>
      </c>
      <c r="E13" s="4">
        <v>1</v>
      </c>
      <c r="F13" s="4">
        <f>Bilanca!G20</f>
        <v>12</v>
      </c>
      <c r="G13" s="4">
        <f>IF(Bilanca!H20=0,"",Bilanca!H20)</f>
      </c>
      <c r="H13" s="30">
        <f t="shared" si="0"/>
        <v>0</v>
      </c>
      <c r="I13" s="31">
        <f t="shared" si="1"/>
        <v>0</v>
      </c>
      <c r="J13" s="31">
        <f>Bilanca!I20</f>
        <v>0</v>
      </c>
      <c r="K13" s="31">
        <f>Bilanca!J20</f>
        <v>0</v>
      </c>
    </row>
    <row r="14" spans="1:11" ht="12.75">
      <c r="A14" s="4" t="s">
        <v>1194</v>
      </c>
      <c r="B14" s="29">
        <f>TRIM(RefStr!C37)</f>
      </c>
      <c r="D14" s="4" t="s">
        <v>1521</v>
      </c>
      <c r="E14" s="4">
        <v>1</v>
      </c>
      <c r="F14" s="4">
        <f>Bilanca!G21</f>
        <v>13</v>
      </c>
      <c r="G14" s="4">
        <f>IF(Bilanca!H21=0,"",Bilanca!H21)</f>
      </c>
      <c r="H14" s="30">
        <f t="shared" si="0"/>
        <v>0</v>
      </c>
      <c r="I14" s="31">
        <f t="shared" si="1"/>
        <v>0</v>
      </c>
      <c r="J14" s="31">
        <f>Bilanca!I21</f>
        <v>0</v>
      </c>
      <c r="K14" s="31">
        <f>Bilanca!J21</f>
        <v>0</v>
      </c>
    </row>
    <row r="15" spans="1:11" ht="12.75">
      <c r="A15" s="4" t="s">
        <v>2360</v>
      </c>
      <c r="B15" s="29" t="str">
        <f>TEXT(RefStr!J39,"00")</f>
        <v>18</v>
      </c>
      <c r="D15" s="4" t="s">
        <v>1521</v>
      </c>
      <c r="E15" s="4">
        <v>1</v>
      </c>
      <c r="F15" s="4">
        <f>Bilanca!G22</f>
        <v>14</v>
      </c>
      <c r="G15" s="4">
        <f>IF(Bilanca!H22=0,"",Bilanca!H22)</f>
      </c>
      <c r="H15" s="30">
        <f t="shared" si="0"/>
        <v>241.92000000000002</v>
      </c>
      <c r="I15" s="31">
        <f t="shared" si="1"/>
        <v>0</v>
      </c>
      <c r="J15" s="31">
        <f>Bilanca!I22</f>
        <v>1728</v>
      </c>
      <c r="K15" s="31">
        <f>Bilanca!J22</f>
        <v>0</v>
      </c>
    </row>
    <row r="16" spans="1:11" ht="12.75">
      <c r="A16" s="4" t="s">
        <v>2359</v>
      </c>
      <c r="B16" s="29" t="str">
        <f>TEXT(RefStr!C39,"000")</f>
        <v>435</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4719</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1603631.25</v>
      </c>
      <c r="I18" s="31">
        <f t="shared" si="1"/>
        <v>0</v>
      </c>
      <c r="J18" s="31">
        <f>Bilanca!I25</f>
        <v>3144375</v>
      </c>
      <c r="K18" s="31">
        <f>Bilanca!J25</f>
        <v>3144375</v>
      </c>
    </row>
    <row r="19" spans="1:11" ht="12.75">
      <c r="A19" s="4" t="s">
        <v>1196</v>
      </c>
      <c r="B19" s="29" t="str">
        <f>IF(RefStr!I21&lt;&gt;"",RefStr!I21,"")</f>
        <v>NE</v>
      </c>
      <c r="D19" s="4" t="s">
        <v>1521</v>
      </c>
      <c r="E19" s="4">
        <v>1</v>
      </c>
      <c r="F19" s="4">
        <f>Bilanca!G26</f>
        <v>18</v>
      </c>
      <c r="G19" s="4">
        <f>IF(Bilanca!H26=0,"",Bilanca!H26)</f>
      </c>
      <c r="H19" s="30">
        <f t="shared" si="0"/>
        <v>2882.88</v>
      </c>
      <c r="I19" s="31">
        <f t="shared" si="1"/>
        <v>0</v>
      </c>
      <c r="J19" s="31">
        <f>Bilanca!I26</f>
        <v>0</v>
      </c>
      <c r="K19" s="31">
        <f>Bilanca!J26</f>
        <v>8008</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1</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1</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1</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1</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t="str">
        <f>RefStr!B64</f>
        <v>01070207</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t="str">
        <f>RefStr!B66</f>
        <v>VINUS D.O.O.</v>
      </c>
      <c r="D38" s="4" t="s">
        <v>1521</v>
      </c>
      <c r="E38" s="4">
        <v>1</v>
      </c>
      <c r="F38" s="4">
        <f>Bilanca!G45</f>
        <v>37</v>
      </c>
      <c r="G38" s="4">
        <f>IF(Bilanca!H45=0,"",Bilanca!H45)</f>
      </c>
      <c r="H38" s="30">
        <f t="shared" si="0"/>
        <v>100647.76999999999</v>
      </c>
      <c r="I38" s="31">
        <f t="shared" si="1"/>
        <v>0</v>
      </c>
      <c r="J38" s="31">
        <f>Bilanca!I45</f>
        <v>44817</v>
      </c>
      <c r="K38" s="31">
        <f>Bilanca!J45</f>
        <v>113602</v>
      </c>
    </row>
    <row r="39" spans="1:11" ht="12.75">
      <c r="A39" s="4" t="s">
        <v>1216</v>
      </c>
      <c r="B39" s="29" t="str">
        <f>RefStr!C68</f>
        <v>MONIKA LESJAK</v>
      </c>
      <c r="D39" s="4" t="s">
        <v>1521</v>
      </c>
      <c r="E39" s="4">
        <v>1</v>
      </c>
      <c r="F39" s="4">
        <f>Bilanca!G46</f>
        <v>38</v>
      </c>
      <c r="G39" s="4">
        <f>IF(Bilanca!H46=0,"",Bilanca!H46)</f>
      </c>
      <c r="H39" s="30">
        <f t="shared" si="0"/>
        <v>10142.58</v>
      </c>
      <c r="I39" s="31">
        <f t="shared" si="1"/>
        <v>0</v>
      </c>
      <c r="J39" s="31">
        <f>Bilanca!I46</f>
        <v>11437</v>
      </c>
      <c r="K39" s="31">
        <f>Bilanca!J46</f>
        <v>7627</v>
      </c>
    </row>
    <row r="40" spans="1:11" ht="12.75">
      <c r="A40" s="4" t="s">
        <v>1217</v>
      </c>
      <c r="B40" s="29" t="str">
        <f>TRIM(RefStr!C70)</f>
        <v>052/213-180</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info@vinus.hr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STANIĆ MATEA</v>
      </c>
      <c r="D43" s="4" t="s">
        <v>1521</v>
      </c>
      <c r="E43" s="4">
        <v>1</v>
      </c>
      <c r="F43" s="4">
        <f>Bilanca!G50</f>
        <v>42</v>
      </c>
      <c r="G43" s="4">
        <f>IF(Bilanca!H50=0,"",Bilanca!H50)</f>
      </c>
      <c r="H43" s="30">
        <f t="shared" si="0"/>
        <v>11210.22</v>
      </c>
      <c r="I43" s="31">
        <f t="shared" si="1"/>
        <v>0</v>
      </c>
      <c r="J43" s="31">
        <f>Bilanca!I50</f>
        <v>11437</v>
      </c>
      <c r="K43" s="31">
        <f>Bilanca!J50</f>
        <v>7627</v>
      </c>
    </row>
    <row r="44" spans="1:11" ht="12.75">
      <c r="A44" s="4" t="s">
        <v>2853</v>
      </c>
      <c r="B44" s="29" t="str">
        <f>IF(RefStr!C4&lt;&gt;"",TEXT(RefStr!C4,"YYYYMMDD"),"")</f>
        <v>20170101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20171231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42415.68</v>
      </c>
      <c r="I47" s="31">
        <f t="shared" si="3"/>
        <v>0</v>
      </c>
      <c r="J47" s="31">
        <f>Bilanca!I54</f>
        <v>25844</v>
      </c>
      <c r="K47" s="31">
        <f>Bilanca!J54</f>
        <v>33182</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6976.62</v>
      </c>
      <c r="I50" s="31">
        <f t="shared" si="3"/>
        <v>0</v>
      </c>
      <c r="J50" s="31">
        <f>Bilanca!I57</f>
        <v>304</v>
      </c>
      <c r="K50" s="31">
        <f>Bilanca!J57</f>
        <v>6967</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2393.4300000000003</v>
      </c>
      <c r="I52" s="31">
        <f t="shared" si="3"/>
        <v>0</v>
      </c>
      <c r="J52" s="31">
        <f>Bilanca!I59</f>
        <v>1147</v>
      </c>
      <c r="K52" s="31">
        <f>Bilanca!J59</f>
        <v>1773</v>
      </c>
    </row>
    <row r="53" spans="1:11" ht="12.75">
      <c r="A53" s="4" t="s">
        <v>532</v>
      </c>
      <c r="B53" s="29" t="str">
        <f>RefStr!I56</f>
        <v>DA</v>
      </c>
      <c r="D53" s="4" t="s">
        <v>1521</v>
      </c>
      <c r="E53" s="4">
        <v>1</v>
      </c>
      <c r="F53" s="4">
        <f>Bilanca!G60</f>
        <v>52</v>
      </c>
      <c r="G53" s="4">
        <f>IF(Bilanca!H60=0,"",Bilanca!H60)</f>
      </c>
      <c r="H53" s="30">
        <f t="shared" si="2"/>
        <v>38104.04</v>
      </c>
      <c r="I53" s="31">
        <f t="shared" si="3"/>
        <v>0</v>
      </c>
      <c r="J53" s="31">
        <f>Bilanca!I60</f>
        <v>24393</v>
      </c>
      <c r="K53" s="31">
        <f>Bilanca!J60</f>
        <v>24442</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548600165.2500001</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96466.85999999999</v>
      </c>
      <c r="I64" s="31">
        <f t="shared" si="3"/>
        <v>0</v>
      </c>
      <c r="J64" s="31">
        <f>Bilanca!I71</f>
        <v>7536</v>
      </c>
      <c r="K64" s="31">
        <f>Bilanca!J71</f>
        <v>72793</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6319878.5</v>
      </c>
      <c r="I66" s="31">
        <f t="shared" si="3"/>
        <v>0</v>
      </c>
      <c r="J66" s="31">
        <f>Bilanca!I73</f>
        <v>3190920</v>
      </c>
      <c r="K66" s="31">
        <f>Bilanca!J73</f>
        <v>3265985</v>
      </c>
    </row>
    <row r="67" spans="1:11" ht="12.75">
      <c r="A67" s="4" t="s">
        <v>689</v>
      </c>
      <c r="B67" s="29" t="str">
        <f>RefStr!L35</f>
        <v>052/560-016</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-493970.9</v>
      </c>
      <c r="I68" s="31">
        <f t="shared" si="3"/>
        <v>0</v>
      </c>
      <c r="J68" s="31">
        <f>Bilanca!I76</f>
        <v>-286724</v>
      </c>
      <c r="K68" s="31">
        <f>Bilanca!J76</f>
        <v>-225273</v>
      </c>
    </row>
    <row r="69" spans="1:11" ht="12.75">
      <c r="A69" s="4" t="s">
        <v>691</v>
      </c>
      <c r="B69" s="29">
        <f>RefStr!M46</f>
        <v>0</v>
      </c>
      <c r="D69" s="4" t="s">
        <v>1521</v>
      </c>
      <c r="E69" s="4">
        <v>1</v>
      </c>
      <c r="F69" s="4">
        <f>Bilanca!G77</f>
        <v>68</v>
      </c>
      <c r="G69" s="4">
        <f>IF(Bilanca!H77=0,"",Bilanca!H77)</f>
      </c>
      <c r="H69" s="30">
        <f t="shared" si="2"/>
        <v>40800</v>
      </c>
      <c r="I69" s="31">
        <f t="shared" si="3"/>
        <v>0</v>
      </c>
      <c r="J69" s="31">
        <f>Bilanca!I77</f>
        <v>20000</v>
      </c>
      <c r="K69" s="31">
        <f>Bilanca!J77</f>
        <v>20000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-749382.84</v>
      </c>
      <c r="I82" s="31">
        <f t="shared" si="3"/>
        <v>0</v>
      </c>
      <c r="J82" s="31">
        <f>Bilanca!I90</f>
        <v>-311718</v>
      </c>
      <c r="K82" s="31">
        <f>Bilanca!J90</f>
        <v>-306723</v>
      </c>
    </row>
    <row r="83" spans="4:11" ht="12.75">
      <c r="D83" s="4" t="s">
        <v>1521</v>
      </c>
      <c r="E83" s="4">
        <v>1</v>
      </c>
      <c r="F83" s="4">
        <f>Bilanca!G91</f>
        <v>82</v>
      </c>
      <c r="G83" s="4">
        <f>IF(Bilanca!H91=0,"",Bilanca!H91)</f>
      </c>
      <c r="H83" s="30">
        <f t="shared" si="2"/>
        <v>0</v>
      </c>
      <c r="I83" s="31">
        <f t="shared" si="3"/>
        <v>0</v>
      </c>
      <c r="J83" s="31">
        <f>Bilanca!I91</f>
        <v>0</v>
      </c>
      <c r="K83" s="31">
        <f>Bilanca!J91</f>
        <v>0</v>
      </c>
    </row>
    <row r="84" spans="4:11" ht="12.75">
      <c r="D84" s="4" t="s">
        <v>1521</v>
      </c>
      <c r="E84" s="4">
        <v>1</v>
      </c>
      <c r="F84" s="4">
        <f>Bilanca!G92</f>
        <v>83</v>
      </c>
      <c r="G84" s="4">
        <f>IF(Bilanca!H92=0,"",Bilanca!H92)</f>
      </c>
      <c r="H84" s="30">
        <f t="shared" si="2"/>
        <v>767886.12</v>
      </c>
      <c r="I84" s="31">
        <f t="shared" si="3"/>
        <v>0</v>
      </c>
      <c r="J84" s="31">
        <f>Bilanca!I92</f>
        <v>311718</v>
      </c>
      <c r="K84" s="31">
        <f>Bilanca!J92</f>
        <v>306723</v>
      </c>
    </row>
    <row r="85" spans="4:11" ht="12.75">
      <c r="D85" s="4" t="s">
        <v>1521</v>
      </c>
      <c r="E85" s="4">
        <v>1</v>
      </c>
      <c r="F85" s="4">
        <f>Bilanca!G93</f>
        <v>84</v>
      </c>
      <c r="G85" s="4">
        <f>IF(Bilanca!H93=0,"",Bilanca!H93)</f>
      </c>
      <c r="H85" s="30">
        <f>J85/100*F85+2*K85/100*F85</f>
        <v>107430.96</v>
      </c>
      <c r="I85" s="31">
        <f>ABS(ROUND(J85,0)-J85)+ABS(ROUND(K85,0)-K85)</f>
        <v>0</v>
      </c>
      <c r="J85" s="31">
        <f>Bilanca!I93</f>
        <v>4994</v>
      </c>
      <c r="K85" s="31">
        <f>Bilanca!J93</f>
        <v>61450</v>
      </c>
    </row>
    <row r="86" spans="4:11" ht="12.75">
      <c r="D86" s="4" t="s">
        <v>1521</v>
      </c>
      <c r="E86" s="4">
        <v>1</v>
      </c>
      <c r="F86" s="4">
        <f>Bilanca!G94</f>
        <v>85</v>
      </c>
      <c r="G86" s="4">
        <f>IF(Bilanca!H94=0,"",Bilanca!H94)</f>
      </c>
      <c r="H86" s="30">
        <f>J86/100*F86+2*K86/100*F86</f>
        <v>108709.9</v>
      </c>
      <c r="I86" s="31">
        <f>ABS(ROUND(J86,0)-J86)+ABS(ROUND(K86,0)-K86)</f>
        <v>0</v>
      </c>
      <c r="J86" s="31">
        <f>Bilanca!I94</f>
        <v>4994</v>
      </c>
      <c r="K86" s="31">
        <f>Bilanca!J94</f>
        <v>61450</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187201.85</v>
      </c>
      <c r="I108" s="31">
        <f t="shared" si="5"/>
        <v>0</v>
      </c>
      <c r="J108" s="31">
        <f>Bilanca!I116</f>
        <v>63947</v>
      </c>
      <c r="K108" s="31">
        <f>Bilanca!J116</f>
        <v>55504</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144829.84999999998</v>
      </c>
      <c r="I116" s="31">
        <f t="shared" si="5"/>
        <v>0</v>
      </c>
      <c r="J116" s="31">
        <f>Bilanca!I124</f>
        <v>59885</v>
      </c>
      <c r="K116" s="31">
        <f>Bilanca!J124</f>
        <v>33027</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21230.82</v>
      </c>
      <c r="I118" s="31">
        <f t="shared" si="5"/>
        <v>0</v>
      </c>
      <c r="J118" s="31">
        <f>Bilanca!I126</f>
        <v>2496</v>
      </c>
      <c r="K118" s="31">
        <f>Bilanca!J126</f>
        <v>7825</v>
      </c>
    </row>
    <row r="119" spans="4:11" ht="12.75">
      <c r="D119" s="4" t="s">
        <v>1521</v>
      </c>
      <c r="E119" s="4">
        <v>1</v>
      </c>
      <c r="F119" s="4">
        <f>Bilanca!G127</f>
        <v>118</v>
      </c>
      <c r="G119" s="4">
        <f>IF(Bilanca!H127=0,"",Bilanca!H127)</f>
      </c>
      <c r="H119" s="30">
        <f t="shared" si="4"/>
        <v>36072.6</v>
      </c>
      <c r="I119" s="31">
        <f t="shared" si="5"/>
        <v>0</v>
      </c>
      <c r="J119" s="31">
        <f>Bilanca!I127</f>
        <v>1300</v>
      </c>
      <c r="K119" s="31">
        <f>Bilanca!J127</f>
        <v>14635</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363</v>
      </c>
      <c r="I122" s="31">
        <f t="shared" si="5"/>
        <v>0</v>
      </c>
      <c r="J122" s="31">
        <f>Bilanca!I130</f>
        <v>266</v>
      </c>
      <c r="K122" s="31">
        <f>Bilanca!J130</f>
        <v>17</v>
      </c>
    </row>
    <row r="123" spans="4:11" ht="12.75">
      <c r="D123" s="4" t="s">
        <v>1521</v>
      </c>
      <c r="E123" s="4">
        <v>1</v>
      </c>
      <c r="F123" s="4">
        <f>Bilanca!G131</f>
        <v>122</v>
      </c>
      <c r="G123" s="4">
        <f>IF(Bilanca!H131=0,"",Bilanca!H131)</f>
      </c>
      <c r="H123" s="30">
        <f t="shared" si="4"/>
        <v>12547950.1</v>
      </c>
      <c r="I123" s="31">
        <f t="shared" si="5"/>
        <v>0</v>
      </c>
      <c r="J123" s="31">
        <f>Bilanca!I131</f>
        <v>3413697</v>
      </c>
      <c r="K123" s="31">
        <f>Bilanca!J131</f>
        <v>3435754</v>
      </c>
    </row>
    <row r="124" spans="4:11" ht="12.75">
      <c r="D124" s="4" t="s">
        <v>1521</v>
      </c>
      <c r="E124" s="4">
        <v>1</v>
      </c>
      <c r="F124" s="4">
        <f>Bilanca!G132</f>
        <v>123</v>
      </c>
      <c r="G124" s="4">
        <f>IF(Bilanca!H132=0,"",Bilanca!H132)</f>
      </c>
      <c r="H124" s="30">
        <f t="shared" si="4"/>
        <v>11959154.7</v>
      </c>
      <c r="I124" s="31">
        <f t="shared" si="5"/>
        <v>0</v>
      </c>
      <c r="J124" s="31">
        <f>Bilanca!I132</f>
        <v>3190920</v>
      </c>
      <c r="K124" s="31">
        <f>Bilanca!J132</f>
        <v>3265985</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572465</v>
      </c>
      <c r="I126" s="4">
        <f t="shared" si="5"/>
        <v>0</v>
      </c>
      <c r="J126" s="31">
        <f>RDG!I8</f>
        <v>58208</v>
      </c>
      <c r="K126" s="31">
        <f>RDG!J8</f>
        <v>199882</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581624.44</v>
      </c>
      <c r="I128" s="4">
        <f aca="true" t="shared" si="7" ref="I128:I190">ABS(ROUND(J128,0)-J128)+ABS(ROUND(K128,0)-K128)</f>
        <v>0</v>
      </c>
      <c r="J128" s="31">
        <f>RDG!I10</f>
        <v>58208</v>
      </c>
      <c r="K128" s="31">
        <f>RDG!J10</f>
        <v>199882</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0</v>
      </c>
      <c r="I131" s="4">
        <f t="shared" si="7"/>
        <v>0</v>
      </c>
      <c r="J131" s="31">
        <f>RDG!I13</f>
        <v>0</v>
      </c>
      <c r="K131" s="31">
        <f>RDG!J13</f>
        <v>0</v>
      </c>
    </row>
    <row r="132" spans="4:11" ht="12.75">
      <c r="D132" s="4" t="s">
        <v>541</v>
      </c>
      <c r="E132" s="4">
        <v>2</v>
      </c>
      <c r="F132" s="4">
        <f>RDG!G14</f>
        <v>131</v>
      </c>
      <c r="G132" s="4">
        <f>IF(RDG!H14=0,"",RDG!H14)</f>
      </c>
      <c r="H132" s="30">
        <f t="shared" si="6"/>
        <v>583204.1399999999</v>
      </c>
      <c r="I132" s="4">
        <f t="shared" si="7"/>
        <v>0</v>
      </c>
      <c r="J132" s="31">
        <f>RDG!I14</f>
        <v>55280</v>
      </c>
      <c r="K132" s="31">
        <f>RDG!J14</f>
        <v>194957</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120956.85</v>
      </c>
      <c r="I134" s="4">
        <f t="shared" si="7"/>
        <v>0</v>
      </c>
      <c r="J134" s="31">
        <f>RDG!I16</f>
        <v>22125</v>
      </c>
      <c r="K134" s="31">
        <f>RDG!J16</f>
        <v>34410</v>
      </c>
    </row>
    <row r="135" spans="4:11" ht="12.75">
      <c r="D135" s="4" t="s">
        <v>541</v>
      </c>
      <c r="E135" s="4">
        <v>2</v>
      </c>
      <c r="F135" s="4">
        <f>RDG!G17</f>
        <v>134</v>
      </c>
      <c r="G135" s="4">
        <f>IF(RDG!H17=0,"",RDG!H17)</f>
      </c>
      <c r="H135" s="30">
        <f t="shared" si="6"/>
        <v>27380.22</v>
      </c>
      <c r="I135" s="4">
        <f t="shared" si="7"/>
        <v>0</v>
      </c>
      <c r="J135" s="31">
        <f>RDG!I17</f>
        <v>5399</v>
      </c>
      <c r="K135" s="31">
        <f>RDG!J17</f>
        <v>7517</v>
      </c>
    </row>
    <row r="136" spans="4:11" ht="12.75">
      <c r="D136" s="4" t="s">
        <v>541</v>
      </c>
      <c r="E136" s="4">
        <v>2</v>
      </c>
      <c r="F136" s="4">
        <f>RDG!G18</f>
        <v>135</v>
      </c>
      <c r="G136" s="4">
        <f>IF(RDG!H18=0,"",RDG!H18)</f>
      </c>
      <c r="H136" s="30">
        <f t="shared" si="6"/>
        <v>38298.15</v>
      </c>
      <c r="I136" s="4">
        <f t="shared" si="7"/>
        <v>0</v>
      </c>
      <c r="J136" s="31">
        <f>RDG!I18</f>
        <v>4251</v>
      </c>
      <c r="K136" s="31">
        <f>RDG!J18</f>
        <v>12059</v>
      </c>
    </row>
    <row r="137" spans="4:11" ht="12.75">
      <c r="D137" s="4" t="s">
        <v>541</v>
      </c>
      <c r="E137" s="4">
        <v>2</v>
      </c>
      <c r="F137" s="4">
        <f>RDG!G19</f>
        <v>136</v>
      </c>
      <c r="G137" s="4">
        <f>IF(RDG!H19=0,"",RDG!H19)</f>
      </c>
      <c r="H137" s="30">
        <f t="shared" si="6"/>
        <v>57314.48</v>
      </c>
      <c r="I137" s="4">
        <f t="shared" si="7"/>
        <v>0</v>
      </c>
      <c r="J137" s="31">
        <f>RDG!I19</f>
        <v>12475</v>
      </c>
      <c r="K137" s="31">
        <f>RDG!J19</f>
        <v>14834</v>
      </c>
    </row>
    <row r="138" spans="4:11" ht="12.75">
      <c r="D138" s="4" t="s">
        <v>541</v>
      </c>
      <c r="E138" s="4">
        <v>2</v>
      </c>
      <c r="F138" s="4">
        <f>RDG!G20</f>
        <v>137</v>
      </c>
      <c r="G138" s="4">
        <f>IF(RDG!H20=0,"",RDG!H20)</f>
      </c>
      <c r="H138" s="30">
        <f t="shared" si="6"/>
        <v>303415.27</v>
      </c>
      <c r="I138" s="4">
        <f t="shared" si="7"/>
        <v>0</v>
      </c>
      <c r="J138" s="31">
        <f>RDG!I20</f>
        <v>23951</v>
      </c>
      <c r="K138" s="31">
        <f>RDG!J20</f>
        <v>98760</v>
      </c>
    </row>
    <row r="139" spans="4:11" ht="12.75">
      <c r="D139" s="4" t="s">
        <v>541</v>
      </c>
      <c r="E139" s="4">
        <v>2</v>
      </c>
      <c r="F139" s="4">
        <f>RDG!G21</f>
        <v>138</v>
      </c>
      <c r="G139" s="4">
        <f>IF(RDG!H21=0,"",RDG!H21)</f>
      </c>
      <c r="H139" s="30">
        <f t="shared" si="6"/>
        <v>186298.61999999997</v>
      </c>
      <c r="I139" s="4">
        <f t="shared" si="7"/>
        <v>0</v>
      </c>
      <c r="J139" s="31">
        <f>RDG!I21</f>
        <v>16191</v>
      </c>
      <c r="K139" s="31">
        <f>RDG!J21</f>
        <v>59404</v>
      </c>
    </row>
    <row r="140" spans="4:11" ht="12.75">
      <c r="D140" s="4" t="s">
        <v>541</v>
      </c>
      <c r="E140" s="4">
        <v>2</v>
      </c>
      <c r="F140" s="4">
        <f>RDG!G22</f>
        <v>139</v>
      </c>
      <c r="G140" s="4">
        <f>IF(RDG!H22=0,"",RDG!H22)</f>
      </c>
      <c r="H140" s="30">
        <f t="shared" si="6"/>
        <v>75525.65</v>
      </c>
      <c r="I140" s="4">
        <f t="shared" si="7"/>
        <v>0</v>
      </c>
      <c r="J140" s="31">
        <f>RDG!I22</f>
        <v>4245</v>
      </c>
      <c r="K140" s="31">
        <f>RDG!J22</f>
        <v>25045</v>
      </c>
    </row>
    <row r="141" spans="4:11" ht="12.75">
      <c r="D141" s="4" t="s">
        <v>541</v>
      </c>
      <c r="E141" s="4">
        <v>2</v>
      </c>
      <c r="F141" s="4">
        <f>RDG!G23</f>
        <v>140</v>
      </c>
      <c r="G141" s="4">
        <f>IF(RDG!H23=0,"",RDG!H23)</f>
      </c>
      <c r="H141" s="30">
        <f t="shared" si="6"/>
        <v>44991.8</v>
      </c>
      <c r="I141" s="4">
        <f t="shared" si="7"/>
        <v>0</v>
      </c>
      <c r="J141" s="31">
        <f>RDG!I23</f>
        <v>3515</v>
      </c>
      <c r="K141" s="31">
        <f>RDG!J23</f>
        <v>14311</v>
      </c>
    </row>
    <row r="142" spans="4:11" ht="12.75">
      <c r="D142" s="4" t="s">
        <v>541</v>
      </c>
      <c r="E142" s="4">
        <v>2</v>
      </c>
      <c r="F142" s="4">
        <f>RDG!G24</f>
        <v>141</v>
      </c>
      <c r="G142" s="4">
        <f>IF(RDG!H24=0,"",RDG!H24)</f>
      </c>
      <c r="H142" s="30">
        <f t="shared" si="6"/>
        <v>3045.6000000000004</v>
      </c>
      <c r="I142" s="4">
        <f t="shared" si="7"/>
        <v>0</v>
      </c>
      <c r="J142" s="31">
        <f>RDG!I24</f>
        <v>720</v>
      </c>
      <c r="K142" s="31">
        <f>RDG!J24</f>
        <v>720</v>
      </c>
    </row>
    <row r="143" spans="4:11" ht="12.75">
      <c r="D143" s="4" t="s">
        <v>541</v>
      </c>
      <c r="E143" s="4">
        <v>2</v>
      </c>
      <c r="F143" s="4">
        <f>RDG!G25</f>
        <v>142</v>
      </c>
      <c r="G143" s="4">
        <f>IF(RDG!H25=0,"",RDG!H25)</f>
      </c>
      <c r="H143" s="30">
        <f t="shared" si="6"/>
        <v>181461.8</v>
      </c>
      <c r="I143" s="4">
        <f t="shared" si="7"/>
        <v>0</v>
      </c>
      <c r="J143" s="31">
        <f>RDG!I25</f>
        <v>8484</v>
      </c>
      <c r="K143" s="31">
        <f>RDG!J25</f>
        <v>59653</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4326.84</v>
      </c>
      <c r="I154" s="4">
        <f t="shared" si="7"/>
        <v>0</v>
      </c>
      <c r="J154" s="31">
        <f>RDG!I36</f>
        <v>0</v>
      </c>
      <c r="K154" s="31">
        <f>RDG!J36</f>
        <v>1414</v>
      </c>
    </row>
    <row r="155" spans="4:11" ht="12.75">
      <c r="D155" s="4" t="s">
        <v>541</v>
      </c>
      <c r="E155" s="4">
        <v>2</v>
      </c>
      <c r="F155" s="4">
        <f>RDG!G37</f>
        <v>154</v>
      </c>
      <c r="G155" s="4">
        <f>IF(RDG!H37=0,"",RDG!H37)</f>
      </c>
      <c r="H155" s="30">
        <f t="shared" si="6"/>
        <v>183209.18</v>
      </c>
      <c r="I155" s="4">
        <f t="shared" si="7"/>
        <v>0</v>
      </c>
      <c r="J155" s="31">
        <f>RDG!I37</f>
        <v>5427</v>
      </c>
      <c r="K155" s="31">
        <f>RDG!J37</f>
        <v>56770</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75.67</v>
      </c>
      <c r="I162" s="4">
        <f t="shared" si="7"/>
        <v>0</v>
      </c>
      <c r="J162" s="31">
        <f>RDG!I44</f>
        <v>7</v>
      </c>
      <c r="K162" s="31">
        <f>RDG!J44</f>
        <v>20</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195028.8</v>
      </c>
      <c r="I165" s="4">
        <f t="shared" si="7"/>
        <v>0</v>
      </c>
      <c r="J165" s="31">
        <f>RDG!I47</f>
        <v>5420</v>
      </c>
      <c r="K165" s="31">
        <f>RDG!J47</f>
        <v>56750</v>
      </c>
    </row>
    <row r="166" spans="4:11" ht="12.75">
      <c r="D166" s="4" t="s">
        <v>541</v>
      </c>
      <c r="E166" s="4">
        <v>2</v>
      </c>
      <c r="F166" s="4">
        <f>RDG!G48</f>
        <v>165</v>
      </c>
      <c r="G166" s="4">
        <f>IF(RDG!H48=0,"",RDG!H48)</f>
      </c>
      <c r="H166" s="30">
        <f t="shared" si="6"/>
        <v>6354.15</v>
      </c>
      <c r="I166" s="4">
        <f t="shared" si="7"/>
        <v>0</v>
      </c>
      <c r="J166" s="31">
        <f>RDG!I48</f>
        <v>3361</v>
      </c>
      <c r="K166" s="31">
        <f>RDG!J48</f>
        <v>245</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20.16</v>
      </c>
      <c r="I169" s="4">
        <f t="shared" si="7"/>
        <v>0</v>
      </c>
      <c r="J169" s="31">
        <f>RDG!I51</f>
        <v>8</v>
      </c>
      <c r="K169" s="31">
        <f>RDG!J51</f>
        <v>2</v>
      </c>
    </row>
    <row r="170" spans="4:11" ht="12.75">
      <c r="D170" s="4" t="s">
        <v>541</v>
      </c>
      <c r="E170" s="4">
        <v>2</v>
      </c>
      <c r="F170" s="4">
        <f>RDG!G52</f>
        <v>169</v>
      </c>
      <c r="G170" s="4">
        <f>IF(RDG!H52=0,"",RDG!H52)</f>
      </c>
      <c r="H170" s="30">
        <f t="shared" si="6"/>
        <v>165.62</v>
      </c>
      <c r="I170" s="4">
        <f t="shared" si="7"/>
        <v>0</v>
      </c>
      <c r="J170" s="31">
        <f>RDG!I52</f>
        <v>0</v>
      </c>
      <c r="K170" s="31">
        <f>RDG!J52</f>
        <v>49</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6434.5199999999995</v>
      </c>
      <c r="I173" s="4">
        <f t="shared" si="7"/>
        <v>0</v>
      </c>
      <c r="J173" s="31">
        <f>RDG!I55</f>
        <v>3353</v>
      </c>
      <c r="K173" s="31">
        <f>RDG!J55</f>
        <v>194</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1021182.0299999999</v>
      </c>
      <c r="I178" s="4">
        <f t="shared" si="7"/>
        <v>0</v>
      </c>
      <c r="J178" s="31">
        <f>RDG!I60</f>
        <v>63635</v>
      </c>
      <c r="K178" s="31">
        <f>RDG!J60</f>
        <v>256652</v>
      </c>
    </row>
    <row r="179" spans="4:11" ht="12.75">
      <c r="D179" s="4" t="s">
        <v>541</v>
      </c>
      <c r="E179" s="4">
        <v>2</v>
      </c>
      <c r="F179" s="4">
        <f>RDG!G61</f>
        <v>178</v>
      </c>
      <c r="G179" s="4">
        <f>IF(RDG!H61=0,"",RDG!H61)</f>
      </c>
      <c r="H179" s="30">
        <f t="shared" si="6"/>
        <v>799300.1</v>
      </c>
      <c r="I179" s="4">
        <f t="shared" si="7"/>
        <v>0</v>
      </c>
      <c r="J179" s="31">
        <f>RDG!I61</f>
        <v>58641</v>
      </c>
      <c r="K179" s="31">
        <f>RDG!J61</f>
        <v>195202</v>
      </c>
    </row>
    <row r="180" spans="4:11" ht="12.75">
      <c r="D180" s="4" t="s">
        <v>541</v>
      </c>
      <c r="E180" s="4">
        <v>2</v>
      </c>
      <c r="F180" s="4">
        <f>RDG!G62</f>
        <v>179</v>
      </c>
      <c r="G180" s="4">
        <f>IF(RDG!H62=0,"",RDG!H62)</f>
      </c>
      <c r="H180" s="30">
        <f t="shared" si="6"/>
        <v>228930.26</v>
      </c>
      <c r="I180" s="4">
        <f t="shared" si="7"/>
        <v>0</v>
      </c>
      <c r="J180" s="31">
        <f>RDG!I62</f>
        <v>4994</v>
      </c>
      <c r="K180" s="31">
        <f>RDG!J62</f>
        <v>61450</v>
      </c>
    </row>
    <row r="181" spans="4:11" ht="12.75">
      <c r="D181" s="4" t="s">
        <v>541</v>
      </c>
      <c r="E181" s="4">
        <v>2</v>
      </c>
      <c r="F181" s="4">
        <f>RDG!G63</f>
        <v>180</v>
      </c>
      <c r="G181" s="4">
        <f>IF(RDG!H63=0,"",RDG!H63)</f>
      </c>
      <c r="H181" s="30">
        <f t="shared" si="6"/>
        <v>230209.2</v>
      </c>
      <c r="I181" s="4">
        <f t="shared" si="7"/>
        <v>0</v>
      </c>
      <c r="J181" s="31">
        <f>RDG!I63</f>
        <v>4994</v>
      </c>
      <c r="K181" s="31">
        <f>RDG!J63</f>
        <v>61450</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0</v>
      </c>
      <c r="I183" s="4">
        <f t="shared" si="7"/>
        <v>0</v>
      </c>
      <c r="J183" s="31">
        <f>RDG!I65</f>
        <v>0</v>
      </c>
      <c r="K183" s="31">
        <f>RDG!J65</f>
        <v>0</v>
      </c>
    </row>
    <row r="184" spans="4:11" ht="12.75">
      <c r="D184" s="4" t="s">
        <v>541</v>
      </c>
      <c r="E184" s="4">
        <v>2</v>
      </c>
      <c r="F184" s="4">
        <f>RDG!G66</f>
        <v>183</v>
      </c>
      <c r="G184" s="4">
        <f>IF(RDG!H66=0,"",RDG!H66)</f>
      </c>
      <c r="H184" s="30">
        <f t="shared" si="6"/>
        <v>234046.02</v>
      </c>
      <c r="I184" s="4">
        <f t="shared" si="7"/>
        <v>0</v>
      </c>
      <c r="J184" s="31">
        <f>RDG!I66</f>
        <v>4994</v>
      </c>
      <c r="K184" s="31">
        <f>RDG!J66</f>
        <v>61450</v>
      </c>
    </row>
    <row r="185" spans="4:11" ht="12.75">
      <c r="D185" s="4" t="s">
        <v>541</v>
      </c>
      <c r="E185" s="4">
        <v>2</v>
      </c>
      <c r="F185" s="4">
        <f>RDG!G67</f>
        <v>184</v>
      </c>
      <c r="G185" s="4">
        <f>IF(RDG!H67=0,"",RDG!H67)</f>
      </c>
      <c r="H185" s="30">
        <f t="shared" si="6"/>
        <v>235324.96</v>
      </c>
      <c r="I185" s="4">
        <f t="shared" si="7"/>
        <v>0</v>
      </c>
      <c r="J185" s="31">
        <f>RDG!I67</f>
        <v>4994</v>
      </c>
      <c r="K185" s="31">
        <f>RDG!J67</f>
        <v>61450</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420583.51999999996</v>
      </c>
      <c r="I233" s="4">
        <f t="shared" si="11"/>
        <v>0</v>
      </c>
      <c r="J233" s="31">
        <f>Dodatni!I26</f>
        <v>0</v>
      </c>
      <c r="K233" s="31">
        <f>Dodatni!J26</f>
        <v>90643</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666813.2600000001</v>
      </c>
      <c r="I242" s="4">
        <f t="shared" si="11"/>
        <v>0</v>
      </c>
      <c r="J242" s="31">
        <f>Dodatni!I35</f>
        <v>58208</v>
      </c>
      <c r="K242" s="31">
        <f>Dodatni!J35</f>
        <v>109239</v>
      </c>
    </row>
    <row r="243" spans="4:11" ht="12.75">
      <c r="D243" s="4" t="s">
        <v>1522</v>
      </c>
      <c r="E243" s="4">
        <v>3</v>
      </c>
      <c r="F243" s="4">
        <f>Dodatni!H37</f>
        <v>242</v>
      </c>
      <c r="H243" s="30">
        <f t="shared" si="10"/>
        <v>1108292.24</v>
      </c>
      <c r="I243" s="4">
        <f t="shared" si="11"/>
        <v>0</v>
      </c>
      <c r="J243" s="31">
        <f>Dodatni!I37</f>
        <v>58208</v>
      </c>
      <c r="K243" s="31">
        <f>Dodatni!J37</f>
        <v>199882</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387.09000000000003</v>
      </c>
      <c r="I254" s="4">
        <f t="shared" si="11"/>
        <v>0</v>
      </c>
      <c r="J254" s="31">
        <f>Dodatni!I51</f>
        <v>17</v>
      </c>
      <c r="K254" s="31">
        <f>Dodatni!J51</f>
        <v>68</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38487.4</v>
      </c>
      <c r="I260" s="4">
        <f t="shared" si="11"/>
        <v>0</v>
      </c>
      <c r="J260" s="31">
        <f>Dodatni!I57</f>
        <v>0</v>
      </c>
      <c r="K260" s="31">
        <f>Dodatni!J57</f>
        <v>7430</v>
      </c>
    </row>
    <row r="261" spans="4:11" ht="12.75">
      <c r="D261" s="4" t="s">
        <v>1522</v>
      </c>
      <c r="E261" s="4">
        <v>3</v>
      </c>
      <c r="F261" s="4">
        <f>Dodatni!H58</f>
        <v>260</v>
      </c>
      <c r="H261" s="30">
        <f t="shared" si="10"/>
        <v>200207.80000000002</v>
      </c>
      <c r="I261" s="4">
        <f t="shared" si="11"/>
        <v>0</v>
      </c>
      <c r="J261" s="31">
        <f>Dodatni!I58</f>
        <v>6909</v>
      </c>
      <c r="K261" s="31">
        <f>Dodatni!J58</f>
        <v>35047</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128.78</v>
      </c>
      <c r="I275" s="4">
        <f aca="true" t="shared" si="13" ref="I275:I284">ABS(ROUND(J275,0)-J275)+ABS(ROUND(K275,0)-K275)</f>
        <v>0</v>
      </c>
      <c r="J275" s="31">
        <f>Dodatni!I73</f>
        <v>7</v>
      </c>
      <c r="K275" s="31">
        <f>Dodatni!J73</f>
        <v>20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33.24</v>
      </c>
      <c r="I278" s="4">
        <f t="shared" si="13"/>
        <v>0</v>
      </c>
      <c r="J278" s="31">
        <f>Dodatni!I76</f>
        <v>8</v>
      </c>
      <c r="K278" s="31">
        <f>Dodatni!J76</f>
        <v>2</v>
      </c>
    </row>
    <row r="279" spans="4:11" ht="12.75">
      <c r="D279" s="4" t="s">
        <v>1522</v>
      </c>
      <c r="E279" s="4">
        <v>3</v>
      </c>
      <c r="F279" s="4">
        <f>Dodatni!H78</f>
        <v>278</v>
      </c>
      <c r="H279" s="30">
        <f t="shared" si="12"/>
        <v>38920</v>
      </c>
      <c r="I279" s="4">
        <f t="shared" si="13"/>
        <v>0</v>
      </c>
      <c r="J279" s="31">
        <f>Dodatni!I78</f>
        <v>0</v>
      </c>
      <c r="K279" s="31">
        <f>Dodatni!J78</f>
        <v>7000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39200</v>
      </c>
      <c r="I281" s="4">
        <f t="shared" si="13"/>
        <v>0</v>
      </c>
      <c r="J281" s="31">
        <f>Dodatni!I80</f>
        <v>0</v>
      </c>
      <c r="K281" s="31">
        <f>Dodatni!J80</f>
        <v>7000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SAVIČENTA D.O.O.</v>
      </c>
      <c r="X2" s="209" t="s">
        <v>207</v>
      </c>
      <c r="Y2" s="231">
        <f>IF(RefStr!C54&lt;&gt;"",RefStr!C54,"")</f>
        <v>100</v>
      </c>
      <c r="Z2" s="209" t="s">
        <v>2326</v>
      </c>
      <c r="AA2" s="231" t="str">
        <f>IF(RefStr!B64="","",RefStr!B64)</f>
        <v>01070207</v>
      </c>
    </row>
    <row r="3" spans="1:27" ht="13.5" customHeight="1">
      <c r="A3" s="496" t="s">
        <v>2472</v>
      </c>
      <c r="B3" s="497"/>
      <c r="C3" s="497"/>
      <c r="D3" s="497"/>
      <c r="E3" s="497"/>
      <c r="F3" s="497"/>
      <c r="G3" s="497"/>
      <c r="H3" s="497"/>
      <c r="I3" s="504"/>
      <c r="J3" s="505"/>
      <c r="L3" s="145"/>
      <c r="M3" s="145"/>
      <c r="N3" s="208" t="s">
        <v>541</v>
      </c>
      <c r="O3" s="211">
        <f>RDG!Q1</f>
        <v>1</v>
      </c>
      <c r="P3" s="212">
        <f>RDG!Q2</f>
        <v>1</v>
      </c>
      <c r="Q3" s="232">
        <f>RDG!Q3</f>
        <v>1</v>
      </c>
      <c r="R3" s="211" t="s">
        <v>1824</v>
      </c>
      <c r="S3" s="232">
        <f>IF(RefStr!C50&lt;&gt;"",IF(ISERROR(INT(RefStr!C50)),0,RefStr!C50),0)</f>
        <v>1</v>
      </c>
      <c r="T3" s="211" t="s">
        <v>777</v>
      </c>
      <c r="U3" s="232">
        <f>RefStr!L21</f>
        <v>0</v>
      </c>
      <c r="V3" s="211" t="s">
        <v>2355</v>
      </c>
      <c r="W3" s="232">
        <f>RefStr!C31</f>
        <v>52342</v>
      </c>
      <c r="X3" s="211" t="s">
        <v>208</v>
      </c>
      <c r="Y3" s="232">
        <f>IF(RefStr!F54&lt;&gt;"",RefStr!F54,"")</f>
        <v>0</v>
      </c>
      <c r="Z3" s="211" t="s">
        <v>2327</v>
      </c>
      <c r="AA3" s="232" t="str">
        <f>IF(RefStr!B66="","",RefStr!B66)</f>
        <v>VINUS D.O.O.</v>
      </c>
    </row>
    <row r="4" spans="1:27" ht="13.5" customHeight="1">
      <c r="A4" s="498"/>
      <c r="B4" s="499"/>
      <c r="C4" s="499"/>
      <c r="D4" s="499"/>
      <c r="E4" s="499"/>
      <c r="F4" s="499"/>
      <c r="G4" s="499"/>
      <c r="H4" s="499"/>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50329598386</v>
      </c>
      <c r="V4" s="211" t="s">
        <v>2356</v>
      </c>
      <c r="W4" s="232" t="str">
        <f>RefStr!F31</f>
        <v>SVETVINČENAT</v>
      </c>
      <c r="X4" s="234" t="s">
        <v>222</v>
      </c>
      <c r="Y4" s="235" t="str">
        <f>RefStr!I68</f>
        <v>DA</v>
      </c>
      <c r="Z4" s="211" t="s">
        <v>2570</v>
      </c>
      <c r="AA4" s="232" t="str">
        <f>RefStr!N19</f>
        <v>HSFI</v>
      </c>
    </row>
    <row r="5" spans="1:27" ht="13.5" customHeight="1">
      <c r="A5" s="498"/>
      <c r="B5" s="499"/>
      <c r="C5" s="499"/>
      <c r="D5" s="499"/>
      <c r="E5" s="499"/>
      <c r="F5" s="499"/>
      <c r="G5" s="499"/>
      <c r="H5" s="499"/>
      <c r="I5" s="506"/>
      <c r="J5" s="507"/>
      <c r="L5" s="3"/>
      <c r="M5" s="3"/>
      <c r="N5" s="208" t="s">
        <v>1523</v>
      </c>
      <c r="O5" s="211">
        <f>NT_I!Q1</f>
        <v>0</v>
      </c>
      <c r="P5" s="212">
        <f>NT_I!Q2</f>
        <v>0</v>
      </c>
      <c r="Q5" s="232">
        <f>NT_I!Q3</f>
        <v>0</v>
      </c>
      <c r="R5" s="211" t="s">
        <v>1197</v>
      </c>
      <c r="S5" s="232">
        <f>IF(RefStr!C19&lt;&gt;"",IF(ISERROR(INT(RefStr!C19)),0,RefStr!C19),0)</f>
        <v>3</v>
      </c>
      <c r="T5" s="211" t="s">
        <v>2352</v>
      </c>
      <c r="U5" s="232" t="str">
        <f>RefStr!H27</f>
        <v>02168324</v>
      </c>
      <c r="V5" s="211" t="s">
        <v>2357</v>
      </c>
      <c r="W5" s="232" t="str">
        <f>RefStr!C33</f>
        <v>SVETVINČENAT 47</v>
      </c>
      <c r="X5" s="234" t="s">
        <v>2517</v>
      </c>
      <c r="Y5" s="235" t="str">
        <f>RefStr!I62</f>
        <v>NE</v>
      </c>
      <c r="Z5" s="211" t="s">
        <v>691</v>
      </c>
      <c r="AA5" s="232">
        <f>RefStr!M46</f>
        <v>0</v>
      </c>
    </row>
    <row r="6" spans="1:27" ht="13.5" customHeight="1">
      <c r="A6" s="498"/>
      <c r="B6" s="499"/>
      <c r="C6" s="499"/>
      <c r="D6" s="499"/>
      <c r="E6" s="499"/>
      <c r="F6" s="499"/>
      <c r="G6" s="499"/>
      <c r="H6" s="499"/>
      <c r="I6" s="506"/>
      <c r="J6" s="507"/>
      <c r="L6" s="3"/>
      <c r="M6" s="3"/>
      <c r="N6" s="208" t="s">
        <v>1524</v>
      </c>
      <c r="O6" s="211">
        <f>NT_D!Q1</f>
        <v>0</v>
      </c>
      <c r="P6" s="212">
        <f>NT_D!Q2</f>
        <v>0</v>
      </c>
      <c r="Q6" s="232">
        <f>NT_D!Q3</f>
        <v>0</v>
      </c>
      <c r="R6" s="211" t="s">
        <v>1195</v>
      </c>
      <c r="S6" s="232" t="str">
        <f>RefStr!C21</f>
        <v>NE</v>
      </c>
      <c r="T6" s="211" t="s">
        <v>2353</v>
      </c>
      <c r="U6" s="232" t="str">
        <f>RefStr!M27</f>
        <v>130012368</v>
      </c>
      <c r="V6" s="211" t="s">
        <v>2568</v>
      </c>
      <c r="W6" s="232" t="str">
        <f>RefStr!L35</f>
        <v>052/560-016</v>
      </c>
      <c r="X6" s="211" t="s">
        <v>2514</v>
      </c>
      <c r="Y6" s="232" t="str">
        <f>RefStr!C68</f>
        <v>MONIKA LESJAK</v>
      </c>
      <c r="Z6" s="211" t="s">
        <v>1415</v>
      </c>
      <c r="AA6" s="232">
        <f>RefStr!C46</f>
        <v>0</v>
      </c>
    </row>
    <row r="7" spans="1:27" ht="13.5" customHeight="1">
      <c r="A7" s="498"/>
      <c r="B7" s="499"/>
      <c r="C7" s="499"/>
      <c r="D7" s="499"/>
      <c r="E7" s="499"/>
      <c r="F7" s="499"/>
      <c r="G7" s="499"/>
      <c r="H7" s="499"/>
      <c r="I7" s="222" t="s">
        <v>16</v>
      </c>
      <c r="J7" s="224">
        <f>SUM(M12:M120)</f>
        <v>2</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MATEA.STANIC@SVETVINCENAT.HR</v>
      </c>
      <c r="X7" s="211" t="s">
        <v>2515</v>
      </c>
      <c r="Y7" s="232" t="str">
        <f>RefStr!C70</f>
        <v>052/213-180</v>
      </c>
      <c r="Z7" s="211" t="s">
        <v>1416</v>
      </c>
      <c r="AA7" s="232">
        <f>RefStr!D46</f>
      </c>
    </row>
    <row r="8" spans="1:27" ht="13.5" customHeight="1">
      <c r="A8" s="500"/>
      <c r="B8" s="501"/>
      <c r="C8" s="501"/>
      <c r="D8" s="501"/>
      <c r="E8" s="501"/>
      <c r="F8" s="501"/>
      <c r="G8" s="501"/>
      <c r="H8" s="501"/>
      <c r="I8" s="502"/>
      <c r="J8" s="503"/>
      <c r="L8" s="195"/>
      <c r="M8" s="195"/>
      <c r="N8" s="230" t="s">
        <v>615</v>
      </c>
      <c r="O8" s="213" t="str">
        <f>IF(RefStr!N6="NE","DA",IF(RefStr!N6="DA","NE",RefStr!N6))</f>
        <v>NE</v>
      </c>
      <c r="P8" s="214">
        <f>RefStr!C60</f>
        <v>12</v>
      </c>
      <c r="Q8" s="233">
        <f>RefStr!F60</f>
        <v>12</v>
      </c>
      <c r="R8" s="211" t="s">
        <v>1859</v>
      </c>
      <c r="S8" s="232">
        <f>IF(RefStr!C4&lt;&gt;"",RefStr!C4,0)</f>
        <v>42736</v>
      </c>
      <c r="T8" s="211" t="s">
        <v>1861</v>
      </c>
      <c r="U8" s="232" t="str">
        <f>RefStr!D7</f>
        <v>Društvo s ograničenom odgovornošću</v>
      </c>
      <c r="V8" s="211" t="s">
        <v>2574</v>
      </c>
      <c r="W8" s="232" t="str">
        <f>RefStr!C42</f>
        <v>4719</v>
      </c>
      <c r="X8" s="211" t="s">
        <v>2516</v>
      </c>
      <c r="Y8" s="232" t="str">
        <f>TRIM(UPPER(RefStr!C72))</f>
        <v>INFO@VINUS.HR</v>
      </c>
      <c r="Z8" s="236" t="s">
        <v>218</v>
      </c>
      <c r="AA8" s="237" t="str">
        <f>RefStr!I56</f>
        <v>DA</v>
      </c>
    </row>
    <row r="9" spans="1:27" ht="13.5" customHeight="1">
      <c r="A9" s="491" t="s">
        <v>566</v>
      </c>
      <c r="B9" s="491"/>
      <c r="C9" s="491" t="s">
        <v>727</v>
      </c>
      <c r="D9" s="491"/>
      <c r="E9" s="491"/>
      <c r="F9" s="491"/>
      <c r="G9" s="491"/>
      <c r="H9" s="491"/>
      <c r="I9" s="491"/>
      <c r="J9" s="491"/>
      <c r="L9" s="195"/>
      <c r="M9" s="195"/>
      <c r="O9" s="230" t="s">
        <v>614</v>
      </c>
      <c r="P9" s="209">
        <f>RefStr!C58</f>
        <v>1</v>
      </c>
      <c r="Q9" s="231">
        <f>RefStr!F58</f>
        <v>1</v>
      </c>
      <c r="R9" s="211" t="s">
        <v>1860</v>
      </c>
      <c r="S9" s="232">
        <f>IF(RefStr!F4&lt;&gt;"",RefStr!F4,0)</f>
        <v>43100</v>
      </c>
      <c r="T9" s="211" t="s">
        <v>1821</v>
      </c>
      <c r="U9" s="232">
        <f>RefStr!C39</f>
        <v>435</v>
      </c>
      <c r="V9" s="211" t="s">
        <v>1414</v>
      </c>
      <c r="W9" s="232" t="str">
        <f>RefStr!D42</f>
        <v>Ostala trgovina na malo u nespecijaliz...</v>
      </c>
      <c r="X9" s="238" t="s">
        <v>221</v>
      </c>
      <c r="Y9" s="239" t="str">
        <f>RefStr!I66</f>
        <v>DA</v>
      </c>
      <c r="Z9" s="236" t="s">
        <v>219</v>
      </c>
      <c r="AA9" s="237" t="str">
        <f>RefStr!I64</f>
        <v>NE</v>
      </c>
    </row>
    <row r="10" spans="1:27" ht="13.5" customHeight="1">
      <c r="A10" s="492"/>
      <c r="B10" s="492"/>
      <c r="C10" s="492"/>
      <c r="D10" s="492"/>
      <c r="E10" s="492"/>
      <c r="F10" s="492"/>
      <c r="G10" s="492"/>
      <c r="H10" s="492"/>
      <c r="I10" s="492"/>
      <c r="J10" s="492"/>
      <c r="L10" s="195"/>
      <c r="M10" s="195"/>
      <c r="O10" s="230" t="s">
        <v>2123</v>
      </c>
      <c r="P10" s="213">
        <f>RefStr!C56</f>
        <v>1</v>
      </c>
      <c r="Q10" s="233">
        <f>RefStr!F56</f>
        <v>1</v>
      </c>
      <c r="R10" s="213" t="s">
        <v>1863</v>
      </c>
      <c r="S10" s="233">
        <f>RefStr!C23</f>
        <v>1</v>
      </c>
      <c r="T10" s="213" t="s">
        <v>2573</v>
      </c>
      <c r="U10" s="233" t="str">
        <f>RefStr!D39</f>
        <v>Svetvinčenat</v>
      </c>
      <c r="V10" s="240"/>
      <c r="W10" s="241"/>
      <c r="X10" s="242" t="s">
        <v>1974</v>
      </c>
      <c r="Y10" s="243">
        <f>RefStr!F12</f>
        <v>2017</v>
      </c>
      <c r="Z10" s="213" t="s">
        <v>209</v>
      </c>
      <c r="AA10" s="233" t="str">
        <f>RefStr!A75</f>
        <v>STANIĆ MATEA</v>
      </c>
    </row>
    <row r="11" spans="1:25" ht="13.5" customHeight="1">
      <c r="A11" s="488" t="s">
        <v>642</v>
      </c>
      <c r="B11" s="489"/>
      <c r="C11" s="489"/>
      <c r="D11" s="489"/>
      <c r="E11" s="489"/>
      <c r="F11" s="489"/>
      <c r="G11" s="489"/>
      <c r="H11" s="489"/>
      <c r="I11" s="489"/>
      <c r="J11" s="490"/>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493" t="s">
        <v>516</v>
      </c>
      <c r="B42" s="494"/>
      <c r="C42" s="494"/>
      <c r="D42" s="494"/>
      <c r="E42" s="494"/>
      <c r="F42" s="494"/>
      <c r="G42" s="494"/>
      <c r="H42" s="494"/>
      <c r="I42" s="494"/>
      <c r="J42" s="495"/>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2666</v>
      </c>
      <c r="Q50" s="202">
        <f>IF(Bilanca!I73&gt;2600000,1,0)</f>
        <v>1</v>
      </c>
      <c r="R50" s="201">
        <f>IF(RDG!I60&gt;5200000,1,0)</f>
        <v>0</v>
      </c>
      <c r="S50" s="201">
        <f>IF(P10&gt;10,1,0)</f>
        <v>0</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2666</v>
      </c>
      <c r="AE50" s="202">
        <f>IF(Bilanca!J73&gt;2600000,1,0)</f>
        <v>1</v>
      </c>
      <c r="AF50" s="201">
        <f>IF(S9&gt;S8,IF(RDG!J60*365/(S9-S8)&gt;5200000,1,0),0)</f>
        <v>0</v>
      </c>
      <c r="AG50" s="201">
        <f>IF(Q10&gt;10,1,0)</f>
        <v>0</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Provjera</v>
      </c>
      <c r="C91" s="487" t="s">
        <v>2534</v>
      </c>
      <c r="D91" s="487"/>
      <c r="E91" s="487"/>
      <c r="F91" s="487"/>
      <c r="G91" s="487"/>
      <c r="H91" s="487"/>
      <c r="I91" s="487"/>
      <c r="J91" s="487"/>
      <c r="L91" s="195">
        <v>0</v>
      </c>
      <c r="M91" s="195">
        <f>MAX(N91:O91)</f>
        <v>1</v>
      </c>
      <c r="N91" s="195">
        <f>IF(AND(P4&gt;0,O8&lt;&gt;"DA",Dodatni!I50=0),1,0)</f>
        <v>1</v>
      </c>
      <c r="O91" s="195">
        <f>IF(AND(Q4&gt;0,O8&lt;&gt;"DA",Dodatni!J50=0),1,0)</f>
        <v>1</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Provjera</v>
      </c>
      <c r="C98" s="487" t="s">
        <v>758</v>
      </c>
      <c r="D98" s="487"/>
      <c r="E98" s="487"/>
      <c r="F98" s="487"/>
      <c r="G98" s="487"/>
      <c r="H98" s="487"/>
      <c r="I98" s="487"/>
      <c r="J98" s="487"/>
      <c r="L98" s="195">
        <v>0</v>
      </c>
      <c r="M98" s="195">
        <f t="shared" si="16"/>
        <v>1</v>
      </c>
      <c r="N98" s="195">
        <f>IF(AND($O$8&lt;&gt;"DA",P4&gt;0,Dodatni!I62=0),1,0)</f>
        <v>1</v>
      </c>
      <c r="O98" s="195">
        <f>IF(AND($O$8&lt;&gt;"DA",Q4&gt;0,Dodatni!J62=0),1,0)</f>
        <v>1</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C:\Users\Vinus\Desktop\STARI DISK\Desktop\Desktop\ZAVRŠNI IZVJEŠTAJ 2017\SAVIČENTA D.O.O\[GFI-POD 3.0.4. (3) SAVIČENTA D.O.O..xls]Dodatni</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72:J72"/>
    <mergeCell ref="C88:J88"/>
    <mergeCell ref="C82:J82"/>
    <mergeCell ref="C86:J86"/>
    <mergeCell ref="C87:J87"/>
    <mergeCell ref="C83:J83"/>
    <mergeCell ref="C85:J85"/>
    <mergeCell ref="C62:J62"/>
    <mergeCell ref="C71:J71"/>
    <mergeCell ref="C97:J97"/>
    <mergeCell ref="C84:J84"/>
    <mergeCell ref="C45:J45"/>
    <mergeCell ref="C50:J50"/>
    <mergeCell ref="C79:J79"/>
    <mergeCell ref="C95:J95"/>
    <mergeCell ref="C96:J96"/>
    <mergeCell ref="C49:J49"/>
    <mergeCell ref="A73:J73"/>
    <mergeCell ref="C47:J47"/>
    <mergeCell ref="C104:J104"/>
    <mergeCell ref="C103:J103"/>
    <mergeCell ref="C76:J76"/>
    <mergeCell ref="C90:J90"/>
    <mergeCell ref="C89:J89"/>
    <mergeCell ref="C75:J75"/>
    <mergeCell ref="C57:J57"/>
    <mergeCell ref="C74:J74"/>
    <mergeCell ref="C101:J101"/>
    <mergeCell ref="C100:J100"/>
    <mergeCell ref="C80:J80"/>
    <mergeCell ref="C78:J78"/>
    <mergeCell ref="C77:J77"/>
    <mergeCell ref="C66:J66"/>
    <mergeCell ref="C68:J68"/>
    <mergeCell ref="C70:J70"/>
    <mergeCell ref="C67:J67"/>
    <mergeCell ref="C69:J69"/>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40:J40"/>
    <mergeCell ref="C52:J52"/>
    <mergeCell ref="C53:J53"/>
    <mergeCell ref="C43:J43"/>
    <mergeCell ref="A42:J42"/>
    <mergeCell ref="C48:J48"/>
    <mergeCell ref="C51:J51"/>
    <mergeCell ref="C20:J20"/>
    <mergeCell ref="C38:J38"/>
    <mergeCell ref="C12:J12"/>
    <mergeCell ref="C46:J46"/>
    <mergeCell ref="C63:J63"/>
    <mergeCell ref="C44:J44"/>
    <mergeCell ref="C58:J58"/>
    <mergeCell ref="A11:J11"/>
    <mergeCell ref="C54:J54"/>
    <mergeCell ref="C55:J55"/>
    <mergeCell ref="C60:J60"/>
    <mergeCell ref="C61:J61"/>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120" zoomScaleNormal="120" zoomScalePageLayoutView="0" workbookViewId="0" topLeftCell="A1">
      <pane ySplit="1" topLeftCell="A2" activePane="bottomLeft" state="frozen"/>
      <selection pane="topLeft" activeCell="A1" sqref="A1"/>
      <selection pane="bottomLeft" activeCell="C43" sqref="C43"/>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2017</v>
      </c>
    </row>
    <row r="2" spans="1:17" s="148" customFormat="1" ht="60" customHeight="1">
      <c r="A2" s="292" t="s">
        <v>1057</v>
      </c>
      <c r="B2" s="293"/>
      <c r="C2" s="293"/>
      <c r="D2" s="293"/>
      <c r="E2" s="293"/>
      <c r="F2" s="293"/>
      <c r="G2" s="293"/>
      <c r="H2" s="293"/>
      <c r="I2" s="293"/>
      <c r="J2" s="293"/>
      <c r="K2" s="293"/>
      <c r="L2" s="293"/>
      <c r="M2" s="293"/>
      <c r="N2" s="294"/>
      <c r="O2" s="3"/>
      <c r="P2" s="54"/>
      <c r="Q2" s="53">
        <f>IF(F4&lt;&gt;"",YEAR(F4),"")</f>
        <v>2017</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42736</v>
      </c>
      <c r="D4" s="288"/>
      <c r="E4" s="10" t="s">
        <v>1527</v>
      </c>
      <c r="F4" s="287">
        <v>43100</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21.67</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57.17</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2017</v>
      </c>
      <c r="G12" s="330"/>
      <c r="H12" s="322" t="s">
        <v>2105</v>
      </c>
      <c r="I12" s="323"/>
      <c r="J12" s="323"/>
      <c r="K12" s="156"/>
      <c r="L12" s="156"/>
      <c r="M12" s="156"/>
      <c r="N12" s="156"/>
      <c r="P12" s="54" t="s">
        <v>2353</v>
      </c>
      <c r="Q12" s="55">
        <f>INT(VALUE(H27))/10</f>
        <v>216832.4</v>
      </c>
    </row>
    <row r="13" spans="4:17" ht="9.75" customHeight="1">
      <c r="D13" s="156"/>
      <c r="E13" s="162"/>
      <c r="H13" s="27"/>
      <c r="I13" s="163"/>
      <c r="J13" s="163"/>
      <c r="K13" s="156"/>
      <c r="L13" s="156"/>
      <c r="M13" s="156"/>
      <c r="N13" s="156"/>
      <c r="P13" s="54" t="s">
        <v>2353</v>
      </c>
      <c r="Q13" s="55">
        <f>INT(VALUE(M27))/50</f>
        <v>2600247.36</v>
      </c>
    </row>
    <row r="14" spans="1:17" ht="15">
      <c r="A14" s="321" t="s">
        <v>2714</v>
      </c>
      <c r="B14" s="321"/>
      <c r="C14" s="321"/>
      <c r="D14" s="164"/>
      <c r="E14" s="165"/>
      <c r="F14" s="319"/>
      <c r="G14" s="320"/>
      <c r="H14" s="320"/>
      <c r="I14" s="156"/>
      <c r="J14" s="327" t="s">
        <v>2100</v>
      </c>
      <c r="K14" s="328"/>
      <c r="L14" s="328"/>
      <c r="M14" s="328"/>
      <c r="N14" s="328"/>
      <c r="P14" s="54" t="s">
        <v>2718</v>
      </c>
      <c r="Q14" s="55">
        <f>INT(VALUE(C27))/100</f>
        <v>503295983.86</v>
      </c>
    </row>
    <row r="15" spans="1:17" ht="19.5" customHeight="1">
      <c r="A15" s="324">
        <f>Skriveni!B59</f>
        <v>548600165.2500001</v>
      </c>
      <c r="B15" s="325"/>
      <c r="C15" s="326"/>
      <c r="D15" s="60"/>
      <c r="E15" s="60"/>
      <c r="F15" s="60"/>
      <c r="G15" s="60"/>
      <c r="H15" s="60"/>
      <c r="I15" s="60"/>
      <c r="J15" s="60"/>
      <c r="K15" s="60"/>
      <c r="L15" s="60"/>
      <c r="M15" s="60"/>
      <c r="N15" s="60"/>
      <c r="P15" s="54" t="s">
        <v>1817</v>
      </c>
      <c r="Q15" s="55">
        <f>LEN(Skriveni!B9)</f>
        <v>16</v>
      </c>
    </row>
    <row r="16" spans="4:17" ht="12.75" customHeight="1">
      <c r="D16" s="60"/>
      <c r="E16" s="60"/>
      <c r="F16" s="60"/>
      <c r="G16" s="60"/>
      <c r="H16" s="60"/>
      <c r="I16" s="60"/>
      <c r="P16" s="54" t="s">
        <v>1818</v>
      </c>
      <c r="Q16" s="55">
        <f>INT(VALUE(C31))/100</f>
        <v>523.42</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12</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3</v>
      </c>
      <c r="D19" s="371"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72"/>
      <c r="F19" s="372"/>
      <c r="G19" s="372"/>
      <c r="H19" s="372"/>
      <c r="I19" s="347" t="s">
        <v>1729</v>
      </c>
      <c r="J19" s="373"/>
      <c r="K19" s="373"/>
      <c r="L19" s="373"/>
      <c r="M19" s="373"/>
      <c r="N19" s="36" t="s">
        <v>2139</v>
      </c>
      <c r="P19" s="54" t="s">
        <v>1820</v>
      </c>
      <c r="Q19" s="55">
        <f>LEN(Skriveni!B12)</f>
        <v>15</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2619</v>
      </c>
      <c r="J21" s="374" t="s">
        <v>2110</v>
      </c>
      <c r="K21" s="373"/>
      <c r="L21" s="274"/>
      <c r="M21" s="342"/>
      <c r="N21" s="277"/>
      <c r="P21" s="54" t="s">
        <v>1821</v>
      </c>
      <c r="Q21" s="55">
        <f>INT(VALUE(C39))</f>
        <v>435</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4719</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52342</v>
      </c>
      <c r="D31" s="335" t="s">
        <v>693</v>
      </c>
      <c r="E31" s="336"/>
      <c r="F31" s="316" t="s">
        <v>2957</v>
      </c>
      <c r="G31" s="337"/>
      <c r="H31" s="337"/>
      <c r="I31" s="337"/>
      <c r="J31" s="337"/>
      <c r="K31" s="337"/>
      <c r="L31" s="338"/>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2958</v>
      </c>
      <c r="D33" s="345"/>
      <c r="E33" s="345"/>
      <c r="F33" s="345"/>
      <c r="G33" s="345"/>
      <c r="H33" s="345"/>
      <c r="I33" s="345"/>
      <c r="J33" s="345"/>
      <c r="K33" s="345"/>
      <c r="L33" s="346"/>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2966</v>
      </c>
      <c r="D35" s="340"/>
      <c r="E35" s="340"/>
      <c r="F35" s="340"/>
      <c r="G35" s="340"/>
      <c r="H35" s="340"/>
      <c r="I35" s="341"/>
      <c r="J35" s="283" t="s">
        <v>188</v>
      </c>
      <c r="K35" s="347"/>
      <c r="L35" s="274" t="s">
        <v>2964</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435</v>
      </c>
      <c r="D39" s="348" t="str">
        <f>IF(C39="","Šifra grada/općine nije upisana",IF(ISNA(LOOKUP(C39,A177:A732,A177:A732)),"Šifra grada/općine ne postoji",IF(LOOKUP(C39,A177:A732,A177:A732)&lt;&gt;C39,"Šifra grada/općine ne postoji",LOOKUP(C39,A177:A732,B177:B732))))</f>
        <v>Svetvinčenat</v>
      </c>
      <c r="E39" s="349"/>
      <c r="F39" s="349"/>
      <c r="G39" s="349"/>
      <c r="H39" s="272" t="s">
        <v>2222</v>
      </c>
      <c r="I39" s="344"/>
      <c r="J39" s="58">
        <f>IF(C39&gt;0,LOOKUP(C39,A177:A732,C177:C732),"")</f>
        <v>18</v>
      </c>
      <c r="K39" s="351" t="str">
        <f>IF(J39="","Treba prvo upisati šifru grada/općine",LOOKUP(J39,A153:A173,B153:B173))</f>
        <v>ISTARSKA</v>
      </c>
      <c r="L39" s="351"/>
      <c r="M39" s="351"/>
      <c r="N39" s="351"/>
      <c r="P39" s="54" t="s">
        <v>1826</v>
      </c>
      <c r="Q39" s="55">
        <f>C56+2*F56+3*C58+4*F58</f>
        <v>10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1537</v>
      </c>
      <c r="D42" s="353" t="str">
        <f>IF(C42="","Šifra NKD-a nije upisana",IF(ISNA(LOOKUP(C42,A736:A1351,A736:A1351)),"Šifra NKD-a ne postoji",IF(LOOKUP(C42,A736:A1351,A736:A1351)&lt;&gt;C42,"Šifra NKD-a ne postoji",LOOKUP(C42,A736:A1351,B736:B1351))))</f>
        <v>Ostala trgovina na malo u nespecijaliz...</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12</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1</v>
      </c>
      <c r="D50" s="379" t="str">
        <f>IF(C50="","Oznaka veličine nije upisana",IF(ISNA(LOOKUP(C50,A124:A127,A124:A127)),"Nepostojeća oznaka veličine",IF(LOOKUP(C50,A124:A127,A124:A127)&lt;&gt;C50,"Nepostojeća oznaka veličine",LOOKUP(C50,A124:A127,B124:B127))))</f>
        <v>Mikro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DA</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1</v>
      </c>
      <c r="D56" s="270" t="s">
        <v>2898</v>
      </c>
      <c r="E56" s="380"/>
      <c r="F56" s="44">
        <v>1</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1</v>
      </c>
      <c r="D58" s="278" t="s">
        <v>2898</v>
      </c>
      <c r="E58" s="278"/>
      <c r="F58" s="44">
        <v>1</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t="s">
        <v>2959</v>
      </c>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t="s">
        <v>2960</v>
      </c>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2961</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2962</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2963</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2965</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130" zoomScaleNormal="130" zoomScalePageLayoutView="0" workbookViewId="0" topLeftCell="A1">
      <pane ySplit="1" topLeftCell="A77" activePane="bottomLeft" state="frozen"/>
      <selection pane="topLeft" activeCell="A1" sqref="A1"/>
      <selection pane="bottomLeft" activeCell="J128" sqref="J128"/>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31.12.2017.</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50329598386; SAVIČENTA D.O.O.</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3146103</v>
      </c>
      <c r="J10" s="70">
        <f>J11+J18+J28+J39+J44</f>
        <v>3152383</v>
      </c>
    </row>
    <row r="11" spans="1:10" ht="13.5" customHeight="1">
      <c r="A11" s="384" t="s">
        <v>1850</v>
      </c>
      <c r="B11" s="384"/>
      <c r="C11" s="384"/>
      <c r="D11" s="384"/>
      <c r="E11" s="384"/>
      <c r="F11" s="384"/>
      <c r="G11" s="19">
        <v>3</v>
      </c>
      <c r="H11" s="20"/>
      <c r="I11" s="70">
        <f>SUM(I12:I17)</f>
        <v>0</v>
      </c>
      <c r="J11" s="70">
        <f>SUM(J12:J17)</f>
        <v>0</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c r="J13" s="71"/>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c r="J17" s="71"/>
    </row>
    <row r="18" spans="1:10" ht="13.5" customHeight="1">
      <c r="A18" s="384" t="s">
        <v>731</v>
      </c>
      <c r="B18" s="384"/>
      <c r="C18" s="384"/>
      <c r="D18" s="384"/>
      <c r="E18" s="384"/>
      <c r="F18" s="384"/>
      <c r="G18" s="19">
        <v>10</v>
      </c>
      <c r="H18" s="20"/>
      <c r="I18" s="70">
        <f>SUM(I19:I27)</f>
        <v>3146103</v>
      </c>
      <c r="J18" s="70">
        <f>SUM(J19:J27)</f>
        <v>3152383</v>
      </c>
    </row>
    <row r="19" spans="1:10" ht="13.5" customHeight="1">
      <c r="A19" s="383" t="s">
        <v>2176</v>
      </c>
      <c r="B19" s="383"/>
      <c r="C19" s="383"/>
      <c r="D19" s="383"/>
      <c r="E19" s="383"/>
      <c r="F19" s="383"/>
      <c r="G19" s="19">
        <v>11</v>
      </c>
      <c r="H19" s="20"/>
      <c r="I19" s="71"/>
      <c r="J19" s="71"/>
    </row>
    <row r="20" spans="1:10" ht="13.5" customHeight="1">
      <c r="A20" s="383" t="s">
        <v>543</v>
      </c>
      <c r="B20" s="383"/>
      <c r="C20" s="383"/>
      <c r="D20" s="383"/>
      <c r="E20" s="383"/>
      <c r="F20" s="383"/>
      <c r="G20" s="19">
        <v>12</v>
      </c>
      <c r="H20" s="20"/>
      <c r="I20" s="71"/>
      <c r="J20" s="71"/>
    </row>
    <row r="21" spans="1:10" ht="13.5" customHeight="1">
      <c r="A21" s="383" t="s">
        <v>2177</v>
      </c>
      <c r="B21" s="383"/>
      <c r="C21" s="383"/>
      <c r="D21" s="383"/>
      <c r="E21" s="383"/>
      <c r="F21" s="383"/>
      <c r="G21" s="19">
        <v>13</v>
      </c>
      <c r="H21" s="20"/>
      <c r="I21" s="71"/>
      <c r="J21" s="71"/>
    </row>
    <row r="22" spans="1:10" ht="13.5" customHeight="1">
      <c r="A22" s="383" t="s">
        <v>2290</v>
      </c>
      <c r="B22" s="383"/>
      <c r="C22" s="383"/>
      <c r="D22" s="383"/>
      <c r="E22" s="383"/>
      <c r="F22" s="383"/>
      <c r="G22" s="19">
        <v>14</v>
      </c>
      <c r="H22" s="20"/>
      <c r="I22" s="71">
        <v>1728</v>
      </c>
      <c r="J22" s="71"/>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v>3144375</v>
      </c>
      <c r="J25" s="71">
        <v>3144375</v>
      </c>
    </row>
    <row r="26" spans="1:10" ht="13.5" customHeight="1">
      <c r="A26" s="383" t="s">
        <v>1084</v>
      </c>
      <c r="B26" s="383"/>
      <c r="C26" s="383"/>
      <c r="D26" s="383"/>
      <c r="E26" s="383"/>
      <c r="F26" s="383"/>
      <c r="G26" s="19">
        <v>18</v>
      </c>
      <c r="H26" s="20"/>
      <c r="I26" s="71"/>
      <c r="J26" s="71">
        <v>8008</v>
      </c>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44817</v>
      </c>
      <c r="J45" s="70">
        <f>J46+J54+J61+J71</f>
        <v>113602</v>
      </c>
    </row>
    <row r="46" spans="1:10" ht="13.5" customHeight="1">
      <c r="A46" s="384" t="s">
        <v>2647</v>
      </c>
      <c r="B46" s="384"/>
      <c r="C46" s="384"/>
      <c r="D46" s="384"/>
      <c r="E46" s="384"/>
      <c r="F46" s="384"/>
      <c r="G46" s="19">
        <v>38</v>
      </c>
      <c r="H46" s="20"/>
      <c r="I46" s="70">
        <f>SUM(I47:I53)</f>
        <v>11437</v>
      </c>
      <c r="J46" s="70">
        <f>SUM(J47:J53)</f>
        <v>7627</v>
      </c>
    </row>
    <row r="47" spans="1:10" ht="13.5" customHeight="1">
      <c r="A47" s="383" t="s">
        <v>970</v>
      </c>
      <c r="B47" s="383"/>
      <c r="C47" s="383"/>
      <c r="D47" s="383"/>
      <c r="E47" s="383"/>
      <c r="F47" s="383"/>
      <c r="G47" s="19">
        <v>39</v>
      </c>
      <c r="H47" s="20"/>
      <c r="I47" s="71"/>
      <c r="J47" s="71"/>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v>11437</v>
      </c>
      <c r="J50" s="71">
        <v>7627</v>
      </c>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c r="I54" s="70">
        <f>SUM(I55:I60)</f>
        <v>25844</v>
      </c>
      <c r="J54" s="70">
        <f>SUM(J55:J60)</f>
        <v>33182</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304</v>
      </c>
      <c r="J57" s="71">
        <v>6967</v>
      </c>
    </row>
    <row r="58" spans="1:10" ht="13.5" customHeight="1">
      <c r="A58" s="383" t="s">
        <v>350</v>
      </c>
      <c r="B58" s="383"/>
      <c r="C58" s="383"/>
      <c r="D58" s="383"/>
      <c r="E58" s="383"/>
      <c r="F58" s="383"/>
      <c r="G58" s="19">
        <v>50</v>
      </c>
      <c r="H58" s="20"/>
      <c r="I58" s="71"/>
      <c r="J58" s="71"/>
    </row>
    <row r="59" spans="1:10" ht="13.5" customHeight="1">
      <c r="A59" s="383" t="s">
        <v>351</v>
      </c>
      <c r="B59" s="383"/>
      <c r="C59" s="383"/>
      <c r="D59" s="383"/>
      <c r="E59" s="383"/>
      <c r="F59" s="383"/>
      <c r="G59" s="19">
        <v>51</v>
      </c>
      <c r="H59" s="20"/>
      <c r="I59" s="71">
        <v>1147</v>
      </c>
      <c r="J59" s="71">
        <v>1773</v>
      </c>
    </row>
    <row r="60" spans="1:10" ht="13.5" customHeight="1">
      <c r="A60" s="383" t="s">
        <v>2638</v>
      </c>
      <c r="B60" s="383"/>
      <c r="C60" s="383"/>
      <c r="D60" s="383"/>
      <c r="E60" s="383"/>
      <c r="F60" s="383"/>
      <c r="G60" s="19">
        <v>52</v>
      </c>
      <c r="H60" s="20"/>
      <c r="I60" s="71">
        <v>24393</v>
      </c>
      <c r="J60" s="71">
        <v>24442</v>
      </c>
    </row>
    <row r="61" spans="1:10" ht="13.5" customHeight="1">
      <c r="A61" s="384" t="s">
        <v>2649</v>
      </c>
      <c r="B61" s="384"/>
      <c r="C61" s="384"/>
      <c r="D61" s="384"/>
      <c r="E61" s="384"/>
      <c r="F61" s="384"/>
      <c r="G61" s="19">
        <v>53</v>
      </c>
      <c r="H61" s="20"/>
      <c r="I61" s="70">
        <f>SUM(I62:I70)</f>
        <v>0</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c r="I71" s="71">
        <v>7536</v>
      </c>
      <c r="J71" s="71">
        <v>72793</v>
      </c>
    </row>
    <row r="72" spans="1:10" ht="24.75" customHeight="1">
      <c r="A72" s="381" t="s">
        <v>1558</v>
      </c>
      <c r="B72" s="381"/>
      <c r="C72" s="381"/>
      <c r="D72" s="381"/>
      <c r="E72" s="381"/>
      <c r="F72" s="381"/>
      <c r="G72" s="19">
        <v>64</v>
      </c>
      <c r="H72" s="20"/>
      <c r="I72" s="71"/>
      <c r="J72" s="71"/>
    </row>
    <row r="73" spans="1:10" ht="13.5" customHeight="1">
      <c r="A73" s="381" t="s">
        <v>2650</v>
      </c>
      <c r="B73" s="381"/>
      <c r="C73" s="381"/>
      <c r="D73" s="381"/>
      <c r="E73" s="381"/>
      <c r="F73" s="381"/>
      <c r="G73" s="19">
        <v>65</v>
      </c>
      <c r="H73" s="20"/>
      <c r="I73" s="70">
        <f>I9+I10+I45+I72</f>
        <v>3190920</v>
      </c>
      <c r="J73" s="70">
        <f>J9+J10+J45+J72</f>
        <v>3265985</v>
      </c>
    </row>
    <row r="74" spans="1:10" ht="13.5" customHeight="1">
      <c r="A74" s="382" t="s">
        <v>257</v>
      </c>
      <c r="B74" s="382"/>
      <c r="C74" s="382"/>
      <c r="D74" s="382"/>
      <c r="E74" s="382"/>
      <c r="F74" s="382"/>
      <c r="G74" s="21">
        <v>66</v>
      </c>
      <c r="H74" s="22"/>
      <c r="I74" s="72"/>
      <c r="J74" s="72"/>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-286724</v>
      </c>
      <c r="J76" s="70">
        <f>J77+J78+J79+J85+J86+J90+J93+J96</f>
        <v>-225273</v>
      </c>
      <c r="L76" s="2" t="s">
        <v>2591</v>
      </c>
    </row>
    <row r="77" spans="1:10" ht="13.5" customHeight="1">
      <c r="A77" s="384" t="s">
        <v>935</v>
      </c>
      <c r="B77" s="384"/>
      <c r="C77" s="384"/>
      <c r="D77" s="384"/>
      <c r="E77" s="384"/>
      <c r="F77" s="384"/>
      <c r="G77" s="19">
        <v>68</v>
      </c>
      <c r="H77" s="20"/>
      <c r="I77" s="71">
        <v>20000</v>
      </c>
      <c r="J77" s="71">
        <v>20000</v>
      </c>
    </row>
    <row r="78" spans="1:12" ht="13.5" customHeight="1">
      <c r="A78" s="384" t="s">
        <v>936</v>
      </c>
      <c r="B78" s="384"/>
      <c r="C78" s="384"/>
      <c r="D78" s="384"/>
      <c r="E78" s="384"/>
      <c r="F78" s="384"/>
      <c r="G78" s="19">
        <v>69</v>
      </c>
      <c r="H78" s="20"/>
      <c r="I78" s="71"/>
      <c r="J78" s="71"/>
      <c r="L78" s="2" t="s">
        <v>2591</v>
      </c>
    </row>
    <row r="79" spans="1:12" ht="13.5" customHeight="1">
      <c r="A79" s="384" t="s">
        <v>2473</v>
      </c>
      <c r="B79" s="384"/>
      <c r="C79" s="384"/>
      <c r="D79" s="384"/>
      <c r="E79" s="384"/>
      <c r="F79" s="384"/>
      <c r="G79" s="19">
        <v>70</v>
      </c>
      <c r="H79" s="20"/>
      <c r="I79" s="70">
        <f>I80+I81-I82+I83+I84</f>
        <v>0</v>
      </c>
      <c r="J79" s="70">
        <f>J80+J81-J82+J83+J84</f>
        <v>0</v>
      </c>
      <c r="L79" s="2" t="s">
        <v>2591</v>
      </c>
    </row>
    <row r="80" spans="1:10" ht="13.5" customHeight="1">
      <c r="A80" s="383" t="s">
        <v>2641</v>
      </c>
      <c r="B80" s="383"/>
      <c r="C80" s="383"/>
      <c r="D80" s="383"/>
      <c r="E80" s="383"/>
      <c r="F80" s="383"/>
      <c r="G80" s="19">
        <v>71</v>
      </c>
      <c r="H80" s="20"/>
      <c r="I80" s="71"/>
      <c r="J80" s="71"/>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c r="J84" s="71"/>
    </row>
    <row r="85" spans="1:12" ht="13.5" customHeight="1">
      <c r="A85" s="384" t="s">
        <v>1606</v>
      </c>
      <c r="B85" s="384"/>
      <c r="C85" s="384"/>
      <c r="D85" s="384"/>
      <c r="E85" s="384"/>
      <c r="F85" s="384"/>
      <c r="G85" s="19">
        <v>76</v>
      </c>
      <c r="H85" s="20"/>
      <c r="I85" s="71"/>
      <c r="J85" s="71"/>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-311718</v>
      </c>
      <c r="J90" s="70">
        <f>J91-J92</f>
        <v>-306723</v>
      </c>
      <c r="L90" s="2" t="s">
        <v>2591</v>
      </c>
    </row>
    <row r="91" spans="1:10" ht="13.5" customHeight="1">
      <c r="A91" s="383" t="s">
        <v>1139</v>
      </c>
      <c r="B91" s="383"/>
      <c r="C91" s="383"/>
      <c r="D91" s="383"/>
      <c r="E91" s="383"/>
      <c r="F91" s="383"/>
      <c r="G91" s="19">
        <v>82</v>
      </c>
      <c r="H91" s="20"/>
      <c r="I91" s="71"/>
      <c r="J91" s="71"/>
    </row>
    <row r="92" spans="1:10" ht="13.5" customHeight="1">
      <c r="A92" s="383" t="s">
        <v>1140</v>
      </c>
      <c r="B92" s="383"/>
      <c r="C92" s="383"/>
      <c r="D92" s="383"/>
      <c r="E92" s="383"/>
      <c r="F92" s="383"/>
      <c r="G92" s="19">
        <v>83</v>
      </c>
      <c r="H92" s="20"/>
      <c r="I92" s="71">
        <v>311718</v>
      </c>
      <c r="J92" s="71">
        <v>306723</v>
      </c>
    </row>
    <row r="93" spans="1:12" ht="13.5" customHeight="1">
      <c r="A93" s="384" t="s">
        <v>2653</v>
      </c>
      <c r="B93" s="384"/>
      <c r="C93" s="384"/>
      <c r="D93" s="384"/>
      <c r="E93" s="384"/>
      <c r="F93" s="384"/>
      <c r="G93" s="19">
        <v>84</v>
      </c>
      <c r="H93" s="20"/>
      <c r="I93" s="70">
        <f>I94-I95</f>
        <v>4994</v>
      </c>
      <c r="J93" s="70">
        <f>J94-J95</f>
        <v>61450</v>
      </c>
      <c r="L93" s="2" t="s">
        <v>2591</v>
      </c>
    </row>
    <row r="94" spans="1:10" ht="13.5" customHeight="1">
      <c r="A94" s="383" t="s">
        <v>2640</v>
      </c>
      <c r="B94" s="383"/>
      <c r="C94" s="383"/>
      <c r="D94" s="383"/>
      <c r="E94" s="383"/>
      <c r="F94" s="383"/>
      <c r="G94" s="19">
        <v>85</v>
      </c>
      <c r="H94" s="20"/>
      <c r="I94" s="71">
        <v>4994</v>
      </c>
      <c r="J94" s="71">
        <v>61450</v>
      </c>
    </row>
    <row r="95" spans="1:10" ht="13.5" customHeight="1">
      <c r="A95" s="383" t="s">
        <v>1141</v>
      </c>
      <c r="B95" s="383"/>
      <c r="C95" s="383"/>
      <c r="D95" s="383"/>
      <c r="E95" s="383"/>
      <c r="F95" s="383"/>
      <c r="G95" s="19">
        <v>86</v>
      </c>
      <c r="H95" s="20"/>
      <c r="I95" s="71"/>
      <c r="J95" s="71"/>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0</v>
      </c>
      <c r="J97" s="70">
        <f>SUM(J98:J103)</f>
        <v>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c r="I104" s="70">
        <f>SUM(I105:I115)</f>
        <v>0</v>
      </c>
      <c r="J104" s="70">
        <f>SUM(J105:J115)</f>
        <v>0</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c r="J110" s="71"/>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63947</v>
      </c>
      <c r="J116" s="70">
        <f>SUM(J117:J130)</f>
        <v>55504</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c r="J122" s="71"/>
    </row>
    <row r="123" spans="1:10" ht="13.5" customHeight="1">
      <c r="A123" s="383" t="s">
        <v>357</v>
      </c>
      <c r="B123" s="383"/>
      <c r="C123" s="383"/>
      <c r="D123" s="383"/>
      <c r="E123" s="383"/>
      <c r="F123" s="383"/>
      <c r="G123" s="19">
        <v>114</v>
      </c>
      <c r="H123" s="20"/>
      <c r="I123" s="71"/>
      <c r="J123" s="71"/>
    </row>
    <row r="124" spans="1:10" ht="13.5" customHeight="1">
      <c r="A124" s="383" t="s">
        <v>358</v>
      </c>
      <c r="B124" s="383"/>
      <c r="C124" s="383"/>
      <c r="D124" s="383"/>
      <c r="E124" s="383"/>
      <c r="F124" s="383"/>
      <c r="G124" s="19">
        <v>115</v>
      </c>
      <c r="H124" s="20"/>
      <c r="I124" s="71">
        <v>59885</v>
      </c>
      <c r="J124" s="71">
        <v>33027</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2496</v>
      </c>
      <c r="J126" s="71">
        <v>7825</v>
      </c>
    </row>
    <row r="127" spans="1:10" ht="13.5" customHeight="1">
      <c r="A127" s="383" t="s">
        <v>364</v>
      </c>
      <c r="B127" s="383"/>
      <c r="C127" s="383"/>
      <c r="D127" s="383"/>
      <c r="E127" s="383"/>
      <c r="F127" s="383"/>
      <c r="G127" s="19">
        <v>118</v>
      </c>
      <c r="H127" s="20"/>
      <c r="I127" s="71">
        <v>1300</v>
      </c>
      <c r="J127" s="71">
        <v>14635</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v>266</v>
      </c>
      <c r="J130" s="71">
        <v>17</v>
      </c>
    </row>
    <row r="131" spans="1:10" ht="24.75" customHeight="1">
      <c r="A131" s="381" t="s">
        <v>1560</v>
      </c>
      <c r="B131" s="381"/>
      <c r="C131" s="381"/>
      <c r="D131" s="381"/>
      <c r="E131" s="381"/>
      <c r="F131" s="381"/>
      <c r="G131" s="19">
        <v>122</v>
      </c>
      <c r="H131" s="20"/>
      <c r="I131" s="71">
        <v>3413697</v>
      </c>
      <c r="J131" s="71">
        <v>3435754</v>
      </c>
    </row>
    <row r="132" spans="1:10" ht="13.5" customHeight="1">
      <c r="A132" s="381" t="s">
        <v>2657</v>
      </c>
      <c r="B132" s="381"/>
      <c r="C132" s="381"/>
      <c r="D132" s="381"/>
      <c r="E132" s="381"/>
      <c r="F132" s="381"/>
      <c r="G132" s="19">
        <v>123</v>
      </c>
      <c r="H132" s="20"/>
      <c r="I132" s="70">
        <f>I76+I97+I104+I116+I131</f>
        <v>3190920</v>
      </c>
      <c r="J132" s="70">
        <f>J76+J97+J104+J116+J131</f>
        <v>3265985</v>
      </c>
    </row>
    <row r="133" spans="1:10" ht="13.5" customHeight="1">
      <c r="A133" s="382" t="s">
        <v>662</v>
      </c>
      <c r="B133" s="382"/>
      <c r="C133" s="382"/>
      <c r="D133" s="382"/>
      <c r="E133" s="382"/>
      <c r="F133" s="382"/>
      <c r="G133" s="21">
        <v>124</v>
      </c>
      <c r="H133" s="22"/>
      <c r="I133" s="72"/>
      <c r="J133" s="72"/>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140" zoomScaleNormal="140" zoomScalePageLayoutView="0" workbookViewId="0" topLeftCell="A1">
      <pane ySplit="1" topLeftCell="A6" activePane="bottomLeft" state="frozen"/>
      <selection pane="topLeft" activeCell="A1" sqref="A1"/>
      <selection pane="bottomLeft" activeCell="J56" sqref="J56"/>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01.01.2017. do 31.12.2017.</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50329598386; SAVIČENTA D.O.O.</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58208</v>
      </c>
      <c r="J8" s="84">
        <f>SUM(J9:J13)</f>
        <v>199882</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c r="I10" s="71">
        <v>58208</v>
      </c>
      <c r="J10" s="71">
        <v>199882</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c r="J13" s="71"/>
    </row>
    <row r="14" spans="1:10" s="2" customFormat="1" ht="13.5" customHeight="1">
      <c r="A14" s="381" t="s">
        <v>1837</v>
      </c>
      <c r="B14" s="381"/>
      <c r="C14" s="381"/>
      <c r="D14" s="381"/>
      <c r="E14" s="381"/>
      <c r="F14" s="381"/>
      <c r="G14" s="19">
        <v>131</v>
      </c>
      <c r="H14" s="20"/>
      <c r="I14" s="70">
        <f>I15+I16+I20+I24+I25+I26+I29+I36</f>
        <v>55280</v>
      </c>
      <c r="J14" s="70">
        <f>J15+J16+J20+J24+J25+J26+J29+J36</f>
        <v>194957</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22125</v>
      </c>
      <c r="J16" s="70">
        <f>SUM(J17:J19)</f>
        <v>34410</v>
      </c>
    </row>
    <row r="17" spans="1:10" s="2" customFormat="1" ht="13.5" customHeight="1">
      <c r="A17" s="409" t="s">
        <v>504</v>
      </c>
      <c r="B17" s="409"/>
      <c r="C17" s="409"/>
      <c r="D17" s="409"/>
      <c r="E17" s="409"/>
      <c r="F17" s="409"/>
      <c r="G17" s="19">
        <v>134</v>
      </c>
      <c r="H17" s="20"/>
      <c r="I17" s="71">
        <v>5399</v>
      </c>
      <c r="J17" s="71">
        <v>7517</v>
      </c>
    </row>
    <row r="18" spans="1:10" s="2" customFormat="1" ht="13.5" customHeight="1">
      <c r="A18" s="409" t="s">
        <v>505</v>
      </c>
      <c r="B18" s="409"/>
      <c r="C18" s="409"/>
      <c r="D18" s="409"/>
      <c r="E18" s="409"/>
      <c r="F18" s="409"/>
      <c r="G18" s="19">
        <v>135</v>
      </c>
      <c r="H18" s="20"/>
      <c r="I18" s="71">
        <v>4251</v>
      </c>
      <c r="J18" s="71">
        <v>12059</v>
      </c>
    </row>
    <row r="19" spans="1:10" s="2" customFormat="1" ht="13.5" customHeight="1">
      <c r="A19" s="409" t="s">
        <v>1426</v>
      </c>
      <c r="B19" s="409"/>
      <c r="C19" s="409"/>
      <c r="D19" s="409"/>
      <c r="E19" s="409"/>
      <c r="F19" s="409"/>
      <c r="G19" s="19">
        <v>136</v>
      </c>
      <c r="H19" s="20"/>
      <c r="I19" s="71">
        <v>12475</v>
      </c>
      <c r="J19" s="71">
        <v>14834</v>
      </c>
    </row>
    <row r="20" spans="1:10" s="2" customFormat="1" ht="13.5" customHeight="1">
      <c r="A20" s="383" t="s">
        <v>1839</v>
      </c>
      <c r="B20" s="383"/>
      <c r="C20" s="383"/>
      <c r="D20" s="383"/>
      <c r="E20" s="383"/>
      <c r="F20" s="383"/>
      <c r="G20" s="19">
        <v>137</v>
      </c>
      <c r="H20" s="20"/>
      <c r="I20" s="70">
        <f>SUM(I21:I23)</f>
        <v>23951</v>
      </c>
      <c r="J20" s="70">
        <f>SUM(J21:J23)</f>
        <v>98760</v>
      </c>
    </row>
    <row r="21" spans="1:10" s="2" customFormat="1" ht="13.5" customHeight="1">
      <c r="A21" s="409" t="s">
        <v>724</v>
      </c>
      <c r="B21" s="409"/>
      <c r="C21" s="409"/>
      <c r="D21" s="409"/>
      <c r="E21" s="409"/>
      <c r="F21" s="409"/>
      <c r="G21" s="19">
        <v>138</v>
      </c>
      <c r="H21" s="20"/>
      <c r="I21" s="71">
        <v>16191</v>
      </c>
      <c r="J21" s="71">
        <v>59404</v>
      </c>
    </row>
    <row r="22" spans="1:10" s="2" customFormat="1" ht="13.5" customHeight="1">
      <c r="A22" s="409" t="s">
        <v>961</v>
      </c>
      <c r="B22" s="409"/>
      <c r="C22" s="409"/>
      <c r="D22" s="409"/>
      <c r="E22" s="409"/>
      <c r="F22" s="409"/>
      <c r="G22" s="19">
        <v>139</v>
      </c>
      <c r="H22" s="20"/>
      <c r="I22" s="71">
        <v>4245</v>
      </c>
      <c r="J22" s="71">
        <v>25045</v>
      </c>
    </row>
    <row r="23" spans="1:10" s="2" customFormat="1" ht="13.5" customHeight="1">
      <c r="A23" s="409" t="s">
        <v>962</v>
      </c>
      <c r="B23" s="409"/>
      <c r="C23" s="409"/>
      <c r="D23" s="409"/>
      <c r="E23" s="409"/>
      <c r="F23" s="409"/>
      <c r="G23" s="19">
        <v>140</v>
      </c>
      <c r="H23" s="20"/>
      <c r="I23" s="71">
        <v>3515</v>
      </c>
      <c r="J23" s="71">
        <v>14311</v>
      </c>
    </row>
    <row r="24" spans="1:10" s="2" customFormat="1" ht="13.5" customHeight="1">
      <c r="A24" s="383" t="s">
        <v>259</v>
      </c>
      <c r="B24" s="383"/>
      <c r="C24" s="383"/>
      <c r="D24" s="383"/>
      <c r="E24" s="383"/>
      <c r="F24" s="383"/>
      <c r="G24" s="19">
        <v>141</v>
      </c>
      <c r="H24" s="20"/>
      <c r="I24" s="71">
        <v>720</v>
      </c>
      <c r="J24" s="71">
        <v>720</v>
      </c>
    </row>
    <row r="25" spans="1:10" s="2" customFormat="1" ht="13.5" customHeight="1">
      <c r="A25" s="383" t="s">
        <v>260</v>
      </c>
      <c r="B25" s="383"/>
      <c r="C25" s="383"/>
      <c r="D25" s="383"/>
      <c r="E25" s="383"/>
      <c r="F25" s="383"/>
      <c r="G25" s="19">
        <v>142</v>
      </c>
      <c r="H25" s="20"/>
      <c r="I25" s="71">
        <v>8484</v>
      </c>
      <c r="J25" s="71">
        <v>59653</v>
      </c>
    </row>
    <row r="26" spans="1:12" s="2" customFormat="1" ht="13.5" customHeight="1">
      <c r="A26" s="383" t="s">
        <v>1840</v>
      </c>
      <c r="B26" s="383"/>
      <c r="C26" s="383"/>
      <c r="D26" s="383"/>
      <c r="E26" s="383"/>
      <c r="F26" s="383"/>
      <c r="G26" s="19">
        <v>143</v>
      </c>
      <c r="H26" s="20"/>
      <c r="I26" s="70">
        <f>SUM(I27:I28)</f>
        <v>0</v>
      </c>
      <c r="J26" s="70">
        <f>SUM(J27:J28)</f>
        <v>0</v>
      </c>
      <c r="L26" s="2" t="s">
        <v>2591</v>
      </c>
    </row>
    <row r="27" spans="1:12" s="2" customFormat="1" ht="13.5" customHeight="1">
      <c r="A27" s="409" t="s">
        <v>506</v>
      </c>
      <c r="B27" s="409"/>
      <c r="C27" s="409"/>
      <c r="D27" s="409"/>
      <c r="E27" s="409"/>
      <c r="F27" s="409"/>
      <c r="G27" s="19">
        <v>144</v>
      </c>
      <c r="H27" s="20"/>
      <c r="I27" s="71"/>
      <c r="J27" s="71"/>
      <c r="L27" s="2" t="s">
        <v>2591</v>
      </c>
    </row>
    <row r="28" spans="1:12" s="2" customFormat="1" ht="13.5" customHeight="1">
      <c r="A28" s="409" t="s">
        <v>507</v>
      </c>
      <c r="B28" s="409"/>
      <c r="C28" s="409"/>
      <c r="D28" s="409"/>
      <c r="E28" s="409"/>
      <c r="F28" s="409"/>
      <c r="G28" s="19">
        <v>145</v>
      </c>
      <c r="H28" s="20"/>
      <c r="I28" s="71"/>
      <c r="J28" s="71"/>
      <c r="L28" s="2" t="s">
        <v>2591</v>
      </c>
    </row>
    <row r="29" spans="1:12" s="2" customFormat="1" ht="13.5" customHeight="1">
      <c r="A29" s="383" t="s">
        <v>1841</v>
      </c>
      <c r="B29" s="383"/>
      <c r="C29" s="383"/>
      <c r="D29" s="383"/>
      <c r="E29" s="383"/>
      <c r="F29" s="383"/>
      <c r="G29" s="19">
        <v>146</v>
      </c>
      <c r="H29" s="20"/>
      <c r="I29" s="70">
        <f>SUM(I30:I35)</f>
        <v>0</v>
      </c>
      <c r="J29" s="70">
        <f>SUM(J30:J35)</f>
        <v>0</v>
      </c>
      <c r="L29" s="2" t="s">
        <v>2591</v>
      </c>
    </row>
    <row r="30" spans="1:12" s="2" customFormat="1" ht="13.5" customHeight="1">
      <c r="A30" s="409" t="s">
        <v>508</v>
      </c>
      <c r="B30" s="409"/>
      <c r="C30" s="409"/>
      <c r="D30" s="409"/>
      <c r="E30" s="409"/>
      <c r="F30" s="409"/>
      <c r="G30" s="19">
        <v>147</v>
      </c>
      <c r="H30" s="20"/>
      <c r="I30" s="71"/>
      <c r="J30" s="71"/>
      <c r="L30" s="2" t="s">
        <v>2591</v>
      </c>
    </row>
    <row r="31" spans="1:12" s="2" customFormat="1" ht="13.5" customHeight="1">
      <c r="A31" s="409" t="s">
        <v>509</v>
      </c>
      <c r="B31" s="409"/>
      <c r="C31" s="409"/>
      <c r="D31" s="409"/>
      <c r="E31" s="409"/>
      <c r="F31" s="409"/>
      <c r="G31" s="19">
        <v>148</v>
      </c>
      <c r="H31" s="20"/>
      <c r="I31" s="71"/>
      <c r="J31" s="71"/>
      <c r="L31" s="2" t="s">
        <v>2591</v>
      </c>
    </row>
    <row r="32" spans="1:12" s="2" customFormat="1" ht="13.5" customHeight="1">
      <c r="A32" s="409" t="s">
        <v>510</v>
      </c>
      <c r="B32" s="409"/>
      <c r="C32" s="409"/>
      <c r="D32" s="409"/>
      <c r="E32" s="409"/>
      <c r="F32" s="409"/>
      <c r="G32" s="19">
        <v>149</v>
      </c>
      <c r="H32" s="20"/>
      <c r="I32" s="71"/>
      <c r="J32" s="71"/>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c r="J35" s="71"/>
      <c r="L35" s="2" t="s">
        <v>2591</v>
      </c>
    </row>
    <row r="36" spans="1:10" s="2" customFormat="1" ht="13.5" customHeight="1">
      <c r="A36" s="383" t="s">
        <v>1692</v>
      </c>
      <c r="B36" s="383"/>
      <c r="C36" s="383"/>
      <c r="D36" s="383"/>
      <c r="E36" s="383"/>
      <c r="F36" s="383"/>
      <c r="G36" s="19">
        <v>153</v>
      </c>
      <c r="H36" s="20"/>
      <c r="I36" s="71"/>
      <c r="J36" s="71">
        <v>1414</v>
      </c>
    </row>
    <row r="37" spans="1:10" s="2" customFormat="1" ht="13.5" customHeight="1">
      <c r="A37" s="381" t="s">
        <v>1842</v>
      </c>
      <c r="B37" s="381"/>
      <c r="C37" s="381"/>
      <c r="D37" s="381"/>
      <c r="E37" s="381"/>
      <c r="F37" s="381"/>
      <c r="G37" s="19">
        <v>154</v>
      </c>
      <c r="H37" s="20"/>
      <c r="I37" s="70">
        <f>SUM(I38:I47)</f>
        <v>5427</v>
      </c>
      <c r="J37" s="70">
        <f>SUM(J38:J47)</f>
        <v>56770</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7</v>
      </c>
      <c r="J44" s="71">
        <v>20</v>
      </c>
    </row>
    <row r="45" spans="1:10" s="2" customFormat="1" ht="13.5" customHeight="1">
      <c r="A45" s="383" t="s">
        <v>1428</v>
      </c>
      <c r="B45" s="383"/>
      <c r="C45" s="383"/>
      <c r="D45" s="383"/>
      <c r="E45" s="383"/>
      <c r="F45" s="383"/>
      <c r="G45" s="19">
        <v>162</v>
      </c>
      <c r="H45" s="20"/>
      <c r="I45" s="71"/>
      <c r="J45" s="71"/>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v>5420</v>
      </c>
      <c r="J47" s="71">
        <v>56750</v>
      </c>
    </row>
    <row r="48" spans="1:10" s="2" customFormat="1" ht="13.5" customHeight="1">
      <c r="A48" s="381" t="s">
        <v>1843</v>
      </c>
      <c r="B48" s="381"/>
      <c r="C48" s="381"/>
      <c r="D48" s="381"/>
      <c r="E48" s="381"/>
      <c r="F48" s="381"/>
      <c r="G48" s="19">
        <v>165</v>
      </c>
      <c r="H48" s="20"/>
      <c r="I48" s="70">
        <f>SUM(I49:I55)</f>
        <v>3361</v>
      </c>
      <c r="J48" s="70">
        <f>SUM(J49:J55)</f>
        <v>245</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8</v>
      </c>
      <c r="J51" s="71">
        <v>2</v>
      </c>
    </row>
    <row r="52" spans="1:10" s="2" customFormat="1" ht="13.5" customHeight="1">
      <c r="A52" s="403" t="s">
        <v>1439</v>
      </c>
      <c r="B52" s="403"/>
      <c r="C52" s="403"/>
      <c r="D52" s="403"/>
      <c r="E52" s="403"/>
      <c r="F52" s="403"/>
      <c r="G52" s="19">
        <v>169</v>
      </c>
      <c r="H52" s="20"/>
      <c r="I52" s="71"/>
      <c r="J52" s="71">
        <v>49</v>
      </c>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v>3353</v>
      </c>
      <c r="J55" s="71">
        <v>194</v>
      </c>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63635</v>
      </c>
      <c r="J60" s="70">
        <f>J8+J37+J56+J57</f>
        <v>256652</v>
      </c>
    </row>
    <row r="61" spans="1:10" s="2" customFormat="1" ht="13.5" customHeight="1">
      <c r="A61" s="381" t="s">
        <v>1845</v>
      </c>
      <c r="B61" s="381"/>
      <c r="C61" s="381"/>
      <c r="D61" s="381"/>
      <c r="E61" s="381"/>
      <c r="F61" s="381"/>
      <c r="G61" s="19">
        <v>178</v>
      </c>
      <c r="H61" s="20"/>
      <c r="I61" s="70">
        <f>I14+I48+I58+I59</f>
        <v>58641</v>
      </c>
      <c r="J61" s="70">
        <f>J14+J48+J58+J59</f>
        <v>195202</v>
      </c>
    </row>
    <row r="62" spans="1:12" s="2" customFormat="1" ht="13.5" customHeight="1">
      <c r="A62" s="381" t="s">
        <v>2581</v>
      </c>
      <c r="B62" s="381"/>
      <c r="C62" s="381"/>
      <c r="D62" s="381"/>
      <c r="E62" s="381"/>
      <c r="F62" s="381"/>
      <c r="G62" s="19">
        <v>179</v>
      </c>
      <c r="H62" s="20"/>
      <c r="I62" s="70">
        <f>I60-I61</f>
        <v>4994</v>
      </c>
      <c r="J62" s="70">
        <f>J60-J61</f>
        <v>61450</v>
      </c>
      <c r="L62" s="2" t="s">
        <v>2591</v>
      </c>
    </row>
    <row r="63" spans="1:10" s="2" customFormat="1" ht="13.5" customHeight="1">
      <c r="A63" s="403" t="s">
        <v>2658</v>
      </c>
      <c r="B63" s="403"/>
      <c r="C63" s="403"/>
      <c r="D63" s="403"/>
      <c r="E63" s="403"/>
      <c r="F63" s="403"/>
      <c r="G63" s="19">
        <v>180</v>
      </c>
      <c r="H63" s="20"/>
      <c r="I63" s="70">
        <f>IF(I60&gt;I61,I60-I61,0)</f>
        <v>4994</v>
      </c>
      <c r="J63" s="70">
        <f>IF(J60&gt;J61,J60-J61,0)</f>
        <v>61450</v>
      </c>
    </row>
    <row r="64" spans="1:10" s="2" customFormat="1" ht="13.5" customHeight="1">
      <c r="A64" s="403" t="s">
        <v>778</v>
      </c>
      <c r="B64" s="403"/>
      <c r="C64" s="403"/>
      <c r="D64" s="403"/>
      <c r="E64" s="403"/>
      <c r="F64" s="403"/>
      <c r="G64" s="19">
        <v>181</v>
      </c>
      <c r="H64" s="20"/>
      <c r="I64" s="70">
        <f>IF(I61&gt;I60,I61-I60,0)</f>
        <v>0</v>
      </c>
      <c r="J64" s="70">
        <f>IF(J61&gt;J60,J61-J60,0)</f>
        <v>0</v>
      </c>
    </row>
    <row r="65" spans="1:12" s="2" customFormat="1" ht="13.5" customHeight="1">
      <c r="A65" s="381" t="s">
        <v>2620</v>
      </c>
      <c r="B65" s="381"/>
      <c r="C65" s="381"/>
      <c r="D65" s="381"/>
      <c r="E65" s="381"/>
      <c r="F65" s="381"/>
      <c r="G65" s="19">
        <v>182</v>
      </c>
      <c r="H65" s="20"/>
      <c r="I65" s="71"/>
      <c r="J65" s="71"/>
      <c r="L65" s="2" t="s">
        <v>2591</v>
      </c>
    </row>
    <row r="66" spans="1:12" s="2" customFormat="1" ht="13.5" customHeight="1">
      <c r="A66" s="381" t="s">
        <v>2582</v>
      </c>
      <c r="B66" s="381"/>
      <c r="C66" s="381"/>
      <c r="D66" s="381"/>
      <c r="E66" s="381"/>
      <c r="F66" s="381"/>
      <c r="G66" s="19">
        <v>183</v>
      </c>
      <c r="H66" s="20"/>
      <c r="I66" s="70">
        <f>I62-I65</f>
        <v>4994</v>
      </c>
      <c r="J66" s="70">
        <f>J62-J65</f>
        <v>61450</v>
      </c>
      <c r="L66" s="2" t="s">
        <v>2591</v>
      </c>
    </row>
    <row r="67" spans="1:10" s="2" customFormat="1" ht="13.5" customHeight="1">
      <c r="A67" s="403" t="s">
        <v>779</v>
      </c>
      <c r="B67" s="403"/>
      <c r="C67" s="403"/>
      <c r="D67" s="403"/>
      <c r="E67" s="403"/>
      <c r="F67" s="403"/>
      <c r="G67" s="19">
        <v>184</v>
      </c>
      <c r="H67" s="20"/>
      <c r="I67" s="70">
        <f>IF(I66&gt;0,I66,0)</f>
        <v>4994</v>
      </c>
      <c r="J67" s="70">
        <f>IF(J66&gt;0,J66,0)</f>
        <v>61450</v>
      </c>
    </row>
    <row r="68" spans="1:10" s="2" customFormat="1" ht="13.5" customHeight="1">
      <c r="A68" s="404" t="s">
        <v>1472</v>
      </c>
      <c r="B68" s="404"/>
      <c r="C68" s="404"/>
      <c r="D68" s="404"/>
      <c r="E68" s="404"/>
      <c r="F68" s="404"/>
      <c r="G68" s="21">
        <v>185</v>
      </c>
      <c r="H68" s="22"/>
      <c r="I68" s="85">
        <f>IF(I66&lt;0,-I66,0)</f>
        <v>0</v>
      </c>
      <c r="J68" s="85">
        <f>IF(J66&lt;0,-J66,0)</f>
        <v>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tabSelected="1" zoomScalePageLayoutView="0" workbookViewId="0" topLeftCell="A1">
      <pane ySplit="1" topLeftCell="A50" activePane="bottomLeft" state="frozen"/>
      <selection pane="topLeft" activeCell="A1" sqref="A1"/>
      <selection pane="bottomLeft" activeCell="A36" sqref="A36:J36"/>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32" t="s">
        <v>568</v>
      </c>
      <c r="B2" s="433"/>
      <c r="C2" s="433"/>
      <c r="D2" s="433"/>
      <c r="E2" s="433"/>
      <c r="F2" s="433"/>
      <c r="G2" s="433"/>
      <c r="H2" s="433"/>
      <c r="I2" s="434"/>
      <c r="J2" s="388" t="s">
        <v>2593</v>
      </c>
      <c r="Q2" s="74">
        <f>IF(MAX(I9:I88)&gt;0,1,0)</f>
        <v>1</v>
      </c>
      <c r="R2" s="73" t="s">
        <v>2586</v>
      </c>
    </row>
    <row r="3" spans="1:18" s="2" customFormat="1" ht="19.5" customHeight="1" thickBot="1">
      <c r="A3" s="435" t="str">
        <f>"za razdoblje "&amp;IF(RefStr!C4&lt;&gt;"",TEXT(RefStr!C4,"DD.MM.YYYY."),"__.__.____.")&amp;" do "&amp;IF(RefStr!F4&lt;&gt;"",TEXT(RefStr!F4,"DD.MM.YYYY."),"__.__.____.")</f>
        <v>za razdoblje 01.01.2017. do 31.12.2017.</v>
      </c>
      <c r="B3" s="436"/>
      <c r="C3" s="436"/>
      <c r="D3" s="436"/>
      <c r="E3" s="436"/>
      <c r="F3" s="436"/>
      <c r="G3" s="436"/>
      <c r="H3" s="436"/>
      <c r="I3" s="437"/>
      <c r="J3" s="422"/>
      <c r="Q3" s="74">
        <f>IF(MAX(J9:J88)&gt;0,1,0)</f>
        <v>1</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50329598386; SAVIČENTA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c r="J25" s="94"/>
    </row>
    <row r="26" spans="1:10" s="2" customFormat="1" ht="24.75" customHeight="1">
      <c r="A26" s="403" t="s">
        <v>2215</v>
      </c>
      <c r="B26" s="403"/>
      <c r="C26" s="403"/>
      <c r="D26" s="403"/>
      <c r="E26" s="403"/>
      <c r="F26" s="403"/>
      <c r="G26" s="443"/>
      <c r="H26" s="19">
        <v>232</v>
      </c>
      <c r="I26" s="77"/>
      <c r="J26" s="77">
        <v>90643</v>
      </c>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v>58208</v>
      </c>
      <c r="J35" s="78">
        <v>109239</v>
      </c>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v>58208</v>
      </c>
      <c r="J37" s="94">
        <v>199882</v>
      </c>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c r="J50" s="77"/>
    </row>
    <row r="51" spans="1:10" s="2" customFormat="1" ht="24.75" customHeight="1">
      <c r="A51" s="403" t="s">
        <v>2219</v>
      </c>
      <c r="B51" s="403"/>
      <c r="C51" s="403"/>
      <c r="D51" s="403"/>
      <c r="E51" s="403"/>
      <c r="F51" s="403"/>
      <c r="G51" s="443"/>
      <c r="H51" s="19">
        <v>253</v>
      </c>
      <c r="I51" s="77">
        <v>17</v>
      </c>
      <c r="J51" s="77">
        <v>68</v>
      </c>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c r="J57" s="77">
        <v>7430</v>
      </c>
    </row>
    <row r="58" spans="1:10" s="2" customFormat="1" ht="13.5" customHeight="1">
      <c r="A58" s="403" t="s">
        <v>2436</v>
      </c>
      <c r="B58" s="403"/>
      <c r="C58" s="403"/>
      <c r="D58" s="403"/>
      <c r="E58" s="403"/>
      <c r="F58" s="403"/>
      <c r="G58" s="443"/>
      <c r="H58" s="19">
        <v>260</v>
      </c>
      <c r="I58" s="77">
        <v>6909</v>
      </c>
      <c r="J58" s="77">
        <v>35047</v>
      </c>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c r="J60" s="77"/>
    </row>
    <row r="61" spans="1:10" s="2" customFormat="1" ht="13.5" customHeight="1">
      <c r="A61" s="444" t="s">
        <v>2445</v>
      </c>
      <c r="B61" s="444"/>
      <c r="C61" s="444"/>
      <c r="D61" s="444"/>
      <c r="E61" s="444"/>
      <c r="F61" s="444"/>
      <c r="G61" s="445"/>
      <c r="H61" s="19">
        <v>263</v>
      </c>
      <c r="I61" s="77"/>
      <c r="J61" s="77"/>
    </row>
    <row r="62" spans="1:10" s="2" customFormat="1" ht="13.5" customHeight="1">
      <c r="A62" s="403" t="s">
        <v>2439</v>
      </c>
      <c r="B62" s="403"/>
      <c r="C62" s="403"/>
      <c r="D62" s="403"/>
      <c r="E62" s="403"/>
      <c r="F62" s="403"/>
      <c r="G62" s="443"/>
      <c r="H62" s="19">
        <v>264</v>
      </c>
      <c r="I62" s="77"/>
      <c r="J62" s="77"/>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c r="J65" s="77"/>
    </row>
    <row r="66" spans="1:10" s="2" customFormat="1" ht="13.5" customHeight="1">
      <c r="A66" s="444" t="s">
        <v>2903</v>
      </c>
      <c r="B66" s="444"/>
      <c r="C66" s="444"/>
      <c r="D66" s="444"/>
      <c r="E66" s="444"/>
      <c r="F66" s="444"/>
      <c r="G66" s="445"/>
      <c r="H66" s="19">
        <v>268</v>
      </c>
      <c r="I66" s="77"/>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v>7</v>
      </c>
      <c r="J73" s="94">
        <v>20</v>
      </c>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v>8</v>
      </c>
      <c r="J76" s="78">
        <v>2</v>
      </c>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0</v>
      </c>
      <c r="J78" s="228">
        <f>SUM(J79:J82)</f>
        <v>7000</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c r="J80" s="77">
        <v>7000</v>
      </c>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01.01.2017. do 31.12.2017.</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50329598386; SAVIČENTA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01.01.2017. do 31.12.2017.</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50329598386; SAVIČENTA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01.01.2017. do 31.12.2017.</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50329598386; SAVIČENTA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Vinus</cp:lastModifiedBy>
  <cp:lastPrinted>2018-02-23T09:56:10Z</cp:lastPrinted>
  <dcterms:created xsi:type="dcterms:W3CDTF">2008-10-17T11:51:54Z</dcterms:created>
  <dcterms:modified xsi:type="dcterms:W3CDTF">2018-02-23T09:56:11Z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